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tia Relatii Publice\Serviciul Comunicare\Playground\de citit\consultare\2018.09.11 CC\"/>
    </mc:Choice>
  </mc:AlternateContent>
  <bookViews>
    <workbookView xWindow="0" yWindow="0" windowWidth="23040" windowHeight="9075" tabRatio="783"/>
  </bookViews>
  <sheets>
    <sheet name="Info confidentiale" sheetId="15" r:id="rId1"/>
    <sheet name="calcul tarife" sheetId="10" r:id="rId2"/>
    <sheet name="calcul tarife (v2)" sheetId="13" state="hidden" r:id="rId3"/>
    <sheet name="remaining asset life" sheetId="12" state="hidden" r:id="rId4"/>
    <sheet name="CAPEX" sheetId="2" r:id="rId5"/>
    <sheet name="OPEX" sheetId="3" r:id="rId6"/>
    <sheet name="capacitati retea" sheetId="9" r:id="rId7"/>
    <sheet name="matrice alocare" sheetId="11" r:id="rId8"/>
  </sheets>
  <externalReferences>
    <externalReference r:id="rId9"/>
  </externalReferences>
  <calcPr calcId="179017"/>
</workbook>
</file>

<file path=xl/calcChain.xml><?xml version="1.0" encoding="utf-8"?>
<calcChain xmlns="http://schemas.openxmlformats.org/spreadsheetml/2006/main">
  <c r="B10" i="2" l="1"/>
  <c r="B9" i="2"/>
  <c r="B8" i="2"/>
  <c r="C10" i="2"/>
  <c r="C14" i="9"/>
  <c r="K2" i="2"/>
  <c r="E35" i="13" l="1"/>
  <c r="D18" i="13"/>
  <c r="C18" i="13"/>
  <c r="C13" i="9" l="1"/>
  <c r="C21" i="11"/>
  <c r="J17" i="2"/>
  <c r="D6" i="2" s="1"/>
  <c r="E6" i="2" s="1"/>
  <c r="C13" i="11"/>
  <c r="H8" i="9"/>
  <c r="D13" i="11"/>
  <c r="H3" i="9"/>
  <c r="D11" i="11" s="1"/>
  <c r="H7" i="9"/>
  <c r="H10" i="9" s="1"/>
  <c r="E8" i="2"/>
  <c r="B11" i="12" s="1"/>
  <c r="C20" i="11"/>
  <c r="C19" i="11"/>
  <c r="E7" i="2"/>
  <c r="I3" i="3"/>
  <c r="I6" i="3"/>
  <c r="J6" i="3" s="1"/>
  <c r="I9" i="3"/>
  <c r="J9" i="3" s="1"/>
  <c r="C15" i="9"/>
  <c r="C18" i="10"/>
  <c r="D18" i="10"/>
  <c r="H16" i="2"/>
  <c r="K14" i="2"/>
  <c r="J13" i="9"/>
  <c r="J12" i="9"/>
  <c r="B6" i="2"/>
  <c r="B7" i="2"/>
  <c r="B22" i="3"/>
  <c r="C22" i="3" s="1"/>
  <c r="D22" i="3" s="1"/>
  <c r="B13" i="3"/>
  <c r="C13" i="3" s="1"/>
  <c r="D13" i="3" s="1"/>
  <c r="D14" i="11" l="1"/>
  <c r="F14" i="11" s="1"/>
  <c r="E27" i="13"/>
  <c r="G18" i="13"/>
  <c r="H18" i="13" s="1"/>
  <c r="E18" i="10"/>
  <c r="F18" i="10" s="1"/>
  <c r="J3" i="3"/>
  <c r="I13" i="3"/>
  <c r="J13" i="3" s="1"/>
  <c r="D12" i="11"/>
  <c r="F12" i="11" s="1"/>
  <c r="B9" i="12"/>
  <c r="D9" i="12" s="1"/>
  <c r="E9" i="12" s="1"/>
  <c r="C22" i="11"/>
  <c r="E20" i="11" s="1"/>
  <c r="F20" i="11" s="1"/>
  <c r="D11" i="12"/>
  <c r="E11" i="12" s="1"/>
  <c r="H7" i="2"/>
  <c r="B10" i="12"/>
  <c r="E26" i="13"/>
  <c r="D15" i="11"/>
  <c r="F15" i="11" s="1"/>
  <c r="H5" i="9"/>
  <c r="E9" i="2"/>
  <c r="B12" i="12" s="1"/>
  <c r="C4" i="11"/>
  <c r="H8" i="2"/>
  <c r="G8" i="2"/>
  <c r="C8" i="10" s="1"/>
  <c r="C11" i="11"/>
  <c r="F11" i="11" s="1"/>
  <c r="F13" i="11"/>
  <c r="C3" i="11"/>
  <c r="G7" i="2"/>
  <c r="C7" i="10" s="1"/>
  <c r="F7" i="10" s="1"/>
  <c r="F10" i="11"/>
  <c r="G6" i="2"/>
  <c r="C6" i="10" s="1"/>
  <c r="C2" i="11"/>
  <c r="H6" i="2"/>
  <c r="E19" i="11"/>
  <c r="F19" i="11" s="1"/>
  <c r="E21" i="11"/>
  <c r="F21" i="11" s="1"/>
  <c r="F11" i="12" l="1"/>
  <c r="C8" i="13" s="1"/>
  <c r="F9" i="12"/>
  <c r="D10" i="12"/>
  <c r="F16" i="11"/>
  <c r="G15" i="11" s="1"/>
  <c r="E28" i="13"/>
  <c r="E29" i="13" s="1"/>
  <c r="D12" i="12"/>
  <c r="E12" i="12" s="1"/>
  <c r="I18" i="3"/>
  <c r="J18" i="3" s="1"/>
  <c r="E10" i="2"/>
  <c r="J8" i="2" s="1"/>
  <c r="G9" i="2"/>
  <c r="C9" i="10" s="1"/>
  <c r="C10" i="10" s="1"/>
  <c r="H9" i="2"/>
  <c r="H10" i="2" s="1"/>
  <c r="C6" i="11"/>
  <c r="F8" i="10"/>
  <c r="D8" i="10"/>
  <c r="E8" i="10"/>
  <c r="D13" i="12" l="1"/>
  <c r="J9" i="2"/>
  <c r="D8" i="13"/>
  <c r="G8" i="13"/>
  <c r="H8" i="13"/>
  <c r="E10" i="12"/>
  <c r="F10" i="12" s="1"/>
  <c r="C7" i="13" s="1"/>
  <c r="H7" i="13" s="1"/>
  <c r="J7" i="2"/>
  <c r="D2" i="11"/>
  <c r="D5" i="11"/>
  <c r="E9" i="10"/>
  <c r="F9" i="10"/>
  <c r="F10" i="10" s="1"/>
  <c r="D9" i="10"/>
  <c r="G13" i="11"/>
  <c r="G11" i="11"/>
  <c r="G10" i="11"/>
  <c r="G12" i="11"/>
  <c r="G14" i="11"/>
  <c r="F12" i="12"/>
  <c r="C9" i="13" s="1"/>
  <c r="C6" i="13"/>
  <c r="I22" i="3"/>
  <c r="J22" i="3" s="1"/>
  <c r="G10" i="2"/>
  <c r="K9" i="2" s="1"/>
  <c r="J6" i="2"/>
  <c r="B13" i="12"/>
  <c r="D4" i="11"/>
  <c r="D3" i="11"/>
  <c r="H13" i="11" l="1"/>
  <c r="E6" i="10" s="1"/>
  <c r="E10" i="10" s="1"/>
  <c r="E13" i="12"/>
  <c r="G16" i="11"/>
  <c r="F13" i="12"/>
  <c r="C26" i="13" s="1"/>
  <c r="F26" i="13" s="1"/>
  <c r="H10" i="11"/>
  <c r="D6" i="10" s="1"/>
  <c r="D10" i="10" s="1"/>
  <c r="C25" i="10"/>
  <c r="K8" i="2"/>
  <c r="H9" i="13"/>
  <c r="D9" i="13"/>
  <c r="G9" i="13"/>
  <c r="K6" i="2"/>
  <c r="G6" i="13"/>
  <c r="C10" i="13"/>
  <c r="K7" i="2"/>
  <c r="C16" i="13"/>
  <c r="C27" i="13"/>
  <c r="C16" i="10"/>
  <c r="C13" i="10" s="1"/>
  <c r="F13" i="10" s="1"/>
  <c r="C26" i="10"/>
  <c r="D6" i="13" l="1"/>
  <c r="F27" i="13"/>
  <c r="C15" i="10"/>
  <c r="F15" i="10" s="1"/>
  <c r="H10" i="13"/>
  <c r="D10" i="13"/>
  <c r="C17" i="13"/>
  <c r="C12" i="13"/>
  <c r="C14" i="13"/>
  <c r="C15" i="13"/>
  <c r="C13" i="13"/>
  <c r="H13" i="13" s="1"/>
  <c r="C17" i="10"/>
  <c r="C12" i="10"/>
  <c r="G10" i="13"/>
  <c r="C14" i="10"/>
  <c r="E15" i="10" l="1"/>
  <c r="D15" i="10"/>
  <c r="H14" i="13"/>
  <c r="G14" i="13"/>
  <c r="D14" i="13"/>
  <c r="H15" i="13"/>
  <c r="D15" i="13"/>
  <c r="G15" i="13"/>
  <c r="C19" i="13"/>
  <c r="C28" i="13" s="1"/>
  <c r="D12" i="10"/>
  <c r="E12" i="10"/>
  <c r="F14" i="10"/>
  <c r="F16" i="10" s="1"/>
  <c r="F17" i="10" s="1"/>
  <c r="C41" i="10" s="1"/>
  <c r="D14" i="10"/>
  <c r="E14" i="10"/>
  <c r="D12" i="13"/>
  <c r="G12" i="13"/>
  <c r="G16" i="13" l="1"/>
  <c r="G17" i="13" s="1"/>
  <c r="G19" i="13" s="1"/>
  <c r="E48" i="13" s="1"/>
  <c r="D16" i="10"/>
  <c r="D17" i="10" s="1"/>
  <c r="D19" i="10" s="1"/>
  <c r="D20" i="10" s="1"/>
  <c r="H16" i="13"/>
  <c r="H17" i="13" s="1"/>
  <c r="C49" i="13" s="1"/>
  <c r="E16" i="10"/>
  <c r="E17" i="10" s="1"/>
  <c r="E19" i="10" s="1"/>
  <c r="F28" i="13"/>
  <c r="F29" i="13" s="1"/>
  <c r="C29" i="13"/>
  <c r="F19" i="10"/>
  <c r="F20" i="10" s="1"/>
  <c r="D16" i="13"/>
  <c r="D17" i="13" s="1"/>
  <c r="C20" i="13"/>
  <c r="C48" i="13" l="1"/>
  <c r="C33" i="10"/>
  <c r="C35" i="10"/>
  <c r="D27" i="13"/>
  <c r="D26" i="13"/>
  <c r="D28" i="13"/>
  <c r="H19" i="13"/>
  <c r="E49" i="13" s="1"/>
  <c r="C39" i="10"/>
  <c r="G20" i="13"/>
  <c r="G21" i="13" s="1"/>
  <c r="C33" i="13" s="1"/>
  <c r="F33" i="13" s="1"/>
  <c r="C40" i="10"/>
  <c r="E20" i="10"/>
  <c r="C34" i="10" s="1"/>
  <c r="C47" i="13"/>
  <c r="D19" i="13"/>
  <c r="E47" i="13" s="1"/>
  <c r="E50" i="13" l="1"/>
  <c r="H20" i="13"/>
  <c r="C34" i="13" s="1"/>
  <c r="F34" i="13" s="1"/>
  <c r="C36" i="10"/>
  <c r="C42" i="10"/>
  <c r="C42" i="13"/>
  <c r="D20" i="13"/>
  <c r="C41" i="13" s="1"/>
  <c r="C50" i="13"/>
  <c r="E21" i="10"/>
  <c r="C43" i="13" l="1"/>
  <c r="C19" i="10"/>
  <c r="C32" i="13"/>
  <c r="C35" i="13" s="1"/>
  <c r="C44" i="13"/>
  <c r="C52" i="13" s="1"/>
  <c r="C53" i="13" s="1"/>
  <c r="C27" i="10" l="1"/>
  <c r="C20" i="10"/>
  <c r="F32" i="13"/>
  <c r="F35" i="13" s="1"/>
  <c r="C37" i="13"/>
  <c r="C28" i="10" l="1"/>
</calcChain>
</file>

<file path=xl/comments1.xml><?xml version="1.0" encoding="utf-8"?>
<comments xmlns="http://schemas.openxmlformats.org/spreadsheetml/2006/main">
  <authors>
    <author>Roxana Ionela Cirjan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Roxana Ionela Cirjan:</t>
        </r>
        <r>
          <rPr>
            <sz val="9"/>
            <color indexed="81"/>
            <rFont val="Tahoma"/>
            <family val="2"/>
          </rPr>
          <t xml:space="preserve">
echivalentul unui WACC de 5.6%</t>
        </r>
      </text>
    </comment>
  </commentList>
</comments>
</file>

<file path=xl/comments2.xml><?xml version="1.0" encoding="utf-8"?>
<comments xmlns="http://schemas.openxmlformats.org/spreadsheetml/2006/main">
  <authors>
    <author>Roxana Ionela Cirjan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Roxana Ionela Cirjan:</t>
        </r>
        <r>
          <rPr>
            <sz val="9"/>
            <color indexed="81"/>
            <rFont val="Tahoma"/>
            <family val="2"/>
          </rPr>
          <t xml:space="preserve">
real, inainte de impozitare</t>
        </r>
      </text>
    </comment>
  </commentList>
</comments>
</file>

<file path=xl/comments3.xml><?xml version="1.0" encoding="utf-8"?>
<comments xmlns="http://schemas.openxmlformats.org/spreadsheetml/2006/main">
  <authors>
    <author>Roxana Ionela Cirjan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Roxana Ionela Cirjan:</t>
        </r>
        <r>
          <rPr>
            <sz val="9"/>
            <color indexed="81"/>
            <rFont val="Tahoma"/>
            <family val="2"/>
          </rPr>
          <t xml:space="preserve">
dimensiune 125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Roxana Ionela Cirjan:</t>
        </r>
        <r>
          <rPr>
            <sz val="9"/>
            <color indexed="81"/>
            <rFont val="Tahoma"/>
            <family val="2"/>
          </rPr>
          <t xml:space="preserve">
dimensiune 40/60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Roxana Ionela Cirjan:</t>
        </r>
        <r>
          <rPr>
            <sz val="9"/>
            <color indexed="81"/>
            <rFont val="Tahoma"/>
            <family val="2"/>
          </rPr>
          <t xml:space="preserve">
total sapatura</t>
        </r>
      </text>
    </comment>
  </commentList>
</comments>
</file>

<file path=xl/sharedStrings.xml><?xml version="1.0" encoding="utf-8"?>
<sst xmlns="http://schemas.openxmlformats.org/spreadsheetml/2006/main" count="246" uniqueCount="139">
  <si>
    <t>km magistrala</t>
  </si>
  <si>
    <t>@</t>
  </si>
  <si>
    <t>eur/km</t>
  </si>
  <si>
    <t>grad de inchiriere magistrala</t>
  </si>
  <si>
    <t>bransamente mari</t>
  </si>
  <si>
    <t>eur/bransament</t>
  </si>
  <si>
    <t>bransamente mici</t>
  </si>
  <si>
    <t>grad de inchiriere bransamente</t>
  </si>
  <si>
    <t>Venituri anuale</t>
  </si>
  <si>
    <t>EUR</t>
  </si>
  <si>
    <t>Camerete - numar</t>
  </si>
  <si>
    <t>Grad inchiriere</t>
  </si>
  <si>
    <t>eur/ 0.01 m3</t>
  </si>
  <si>
    <t>val bruta</t>
  </si>
  <si>
    <t>lei/luna</t>
  </si>
  <si>
    <t>Mentenata</t>
  </si>
  <si>
    <t>Combustibil</t>
  </si>
  <si>
    <t>Cheltuieli administrative</t>
  </si>
  <si>
    <t>RON</t>
  </si>
  <si>
    <t>Salariati operationali</t>
  </si>
  <si>
    <t>Total costuri anuale de mentenanta</t>
  </si>
  <si>
    <t>Anual (Eur)</t>
  </si>
  <si>
    <t>Anual (Ron)</t>
  </si>
  <si>
    <t>Lunar (Ron)</t>
  </si>
  <si>
    <t>Total lunar</t>
  </si>
  <si>
    <t>Total costuri operationale</t>
  </si>
  <si>
    <t>Total costuri anuale administrative</t>
  </si>
  <si>
    <t>Total costuri administrative</t>
  </si>
  <si>
    <t>Suprafata medie ocupata de 1 client (m3)</t>
  </si>
  <si>
    <t>Magistrala</t>
  </si>
  <si>
    <t>Bransamente</t>
  </si>
  <si>
    <t>Camerete</t>
  </si>
  <si>
    <t>WACC</t>
  </si>
  <si>
    <t>TUBURI SI TUBETE</t>
  </si>
  <si>
    <t>CAMERETE</t>
  </si>
  <si>
    <t>capex (utilaje, unelte, masini)</t>
  </si>
  <si>
    <t>SANTURI (155.15 km)</t>
  </si>
  <si>
    <t>TOTAL</t>
  </si>
  <si>
    <t>Durata de viata</t>
  </si>
  <si>
    <t>CAPEX anualizat</t>
  </si>
  <si>
    <t>verificare PMT</t>
  </si>
  <si>
    <t>Annual opex</t>
  </si>
  <si>
    <t>25% din direct opex (ca in model de acces Romtelecom) - http://www.ancom.org.ro/uploads/articles/file/industrie/audit/rt%20acces_documentatie.pdf (cap 7.2.4)</t>
  </si>
  <si>
    <t>Alocare propusa</t>
  </si>
  <si>
    <t>Unitate functionala de baza</t>
  </si>
  <si>
    <t>Tarif per</t>
  </si>
  <si>
    <t>CAPEX</t>
  </si>
  <si>
    <t>Cheie de alocare</t>
  </si>
  <si>
    <t>OPEX</t>
  </si>
  <si>
    <t>Inchiriere microtub magistrala (diametru 14/10mm)</t>
  </si>
  <si>
    <t>Inchiriere microtub canalizatie de acces cladiri rezidentiale - blocuri sau case multifamiliale (diametru 14/10mm)</t>
  </si>
  <si>
    <t>Inchiriere microtub canalizatie de acces cladiri rezidentiale - blocuri sau case unifamiliale (diametru 14/10mm)</t>
  </si>
  <si>
    <t>Inchiriere spatiu in camin/camereta</t>
  </si>
  <si>
    <t>km / luna</t>
  </si>
  <si>
    <t>RCS &amp; RDS</t>
  </si>
  <si>
    <t>km bransamente mari</t>
  </si>
  <si>
    <t>km bransamente mici</t>
  </si>
  <si>
    <t>tuburi si tubete</t>
  </si>
  <si>
    <t>camerete</t>
  </si>
  <si>
    <t>indirect capex (suport) - masini, utilaje</t>
  </si>
  <si>
    <t>Lucrari civile- santuri</t>
  </si>
  <si>
    <t>TOTAL CAPEX</t>
  </si>
  <si>
    <t>TOTAL OPEX</t>
  </si>
  <si>
    <t>Cost total (inainte de redeverenta)</t>
  </si>
  <si>
    <t>Cost total</t>
  </si>
  <si>
    <t>km canalizatie principala</t>
  </si>
  <si>
    <t>km canalizatie secundara</t>
  </si>
  <si>
    <t xml:space="preserve"> - tuburi 40 mm</t>
  </si>
  <si>
    <t>RON/ml</t>
  </si>
  <si>
    <t xml:space="preserve"> - tuburi 63 mm</t>
  </si>
  <si>
    <t xml:space="preserve"> - tuburi 125 mm</t>
  </si>
  <si>
    <t>pret/ml</t>
  </si>
  <si>
    <t>Necesar</t>
  </si>
  <si>
    <t>Br. Mare</t>
  </si>
  <si>
    <t>Br. Mic</t>
  </si>
  <si>
    <t>ml</t>
  </si>
  <si>
    <t>nr</t>
  </si>
  <si>
    <t>7 micro</t>
  </si>
  <si>
    <t>tubeta</t>
  </si>
  <si>
    <t>tub</t>
  </si>
  <si>
    <t>distanta</t>
  </si>
  <si>
    <t>pret total</t>
  </si>
  <si>
    <t>pondere</t>
  </si>
  <si>
    <t>Bransament</t>
  </si>
  <si>
    <t>Santuri</t>
  </si>
  <si>
    <t>Pondere</t>
  </si>
  <si>
    <t>Investitii efectuate in reteaua de canalizare</t>
  </si>
  <si>
    <t>Instalat</t>
  </si>
  <si>
    <t>fascicul 7 si 1 tubeta</t>
  </si>
  <si>
    <t>Valoare ajustata a investitiei</t>
  </si>
  <si>
    <t>eur/buc/luna</t>
  </si>
  <si>
    <t>Alocare pe total nr camerete si pe gradul de utilizare, inclusiv RCS</t>
  </si>
  <si>
    <t>Inchiriere microtub canalizatie de acces cladiri rezidentiale(diametru 14/10mm)</t>
  </si>
  <si>
    <t>checks</t>
  </si>
  <si>
    <t>REDEVENTA</t>
  </si>
  <si>
    <t>km/luna</t>
  </si>
  <si>
    <t>EUR/luna</t>
  </si>
  <si>
    <t>redeventa de plata</t>
  </si>
  <si>
    <t>1.5/0.1cmc</t>
  </si>
  <si>
    <t>REDEVENTA VENIT</t>
  </si>
  <si>
    <t>REDEVENTA SANT</t>
  </si>
  <si>
    <t>ANRE, Ordin 146/2014</t>
  </si>
  <si>
    <t>http://www.ancom.org.ro/uploads/links_files/CMPC_operatori_ficsi_si_mobili_-_14.pdf</t>
  </si>
  <si>
    <t>Propunere RCS</t>
  </si>
  <si>
    <t xml:space="preserve">de alocat </t>
  </si>
  <si>
    <t xml:space="preserve">Pret achizitie </t>
  </si>
  <si>
    <t>Alocare functie de ponderea costului tuburilor/tubetelor pt magistrala, respectiv pt bransamente</t>
  </si>
  <si>
    <t>Alocare functie de ponderea volumului santului sapat pt magistrala, respectiv pt bransamente si camerete</t>
  </si>
  <si>
    <t>diferenta intre nivelul estimat al cererii si dimensionarea acceptata reprezinta rezerva pe termen lung si rezerva tehnica</t>
  </si>
  <si>
    <t>Opex</t>
  </si>
  <si>
    <t>ponderi</t>
  </si>
  <si>
    <t>Propunere RCS recuperare costuri</t>
  </si>
  <si>
    <t>Diferente</t>
  </si>
  <si>
    <t>economie de cost RCS (redeventa nefacturata)</t>
  </si>
  <si>
    <t>Alocare  pe magistrala, bransamente si camerete</t>
  </si>
  <si>
    <t>lungime sapatura camerete</t>
  </si>
  <si>
    <t>diferenta</t>
  </si>
  <si>
    <t>Pana in prezent, canalizatia a fost utilizata aproape exclusiv de catre RCS</t>
  </si>
  <si>
    <t>Valoarea ramasa de amortizat</t>
  </si>
  <si>
    <t>Cost RCS (inclusiv CMPC)</t>
  </si>
  <si>
    <t>Amortizare 2015-2018 (~3 ani)</t>
  </si>
  <si>
    <t>BP RCS</t>
  </si>
  <si>
    <t>Diferenta</t>
  </si>
  <si>
    <t>euro/an</t>
  </si>
  <si>
    <t>Investitia poate fi astfel impartita in 2 etape: primii 3 ani in care RCS a amortizat contabil investitia (fiind singurul utilizator al retelei), si urmatorii 37 ani (durata de viata ramasa) in care va recupera investitia, inclusiv o rata de remunerare a capitalului investit, pe baza unui grad de utilizare al retelei de 4 (inclusiv RCS)</t>
  </si>
  <si>
    <t>Verificare recuperare investitie</t>
  </si>
  <si>
    <t>Venituri anuale estimate</t>
  </si>
  <si>
    <t>redeventa nefacturata RCS</t>
  </si>
  <si>
    <t>Ajustare (-3 tuburi 125mm)</t>
  </si>
  <si>
    <t>model de acces Telekom</t>
  </si>
  <si>
    <t>REDEVENTA FOLOSINTA TEREN</t>
  </si>
  <si>
    <t>elemente</t>
  </si>
  <si>
    <t>&lt;ajustare tuburi &gt;</t>
  </si>
  <si>
    <t>Informatiile confidentiale (marcate cu rosu) au fost inlocuite cu valori ipotetice</t>
  </si>
  <si>
    <t>Salariati tehnici si suport  -&gt; salariu brut cumulat:</t>
  </si>
  <si>
    <t>combustibilul utilizat de  echipamente si  auto  interventii  :</t>
  </si>
  <si>
    <t>Mentenanta pt  echipamente (miniexcavator, mini incarcator, generator ) si  auto  interventii (platforma, camioneta, autoturism) :</t>
  </si>
  <si>
    <t>Cheltuieli cu salariati monitorizare, call center and general admin ; 
servicii IT&amp;C; facturare si administrative si chirii administrative (sediu, depozit)</t>
  </si>
  <si>
    <t>Tarife propuse de RCS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</si>
</sst>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0.000"/>
    <numFmt numFmtId="168" formatCode="0.0%"/>
    <numFmt numFmtId="169" formatCode="#,##0\ [$€-1]_);\(#,##0\ [$€-1]\)"/>
    <numFmt numFmtId="170" formatCode="_-* #,##0\ _z_ł_-;\-* #,##0\ _z_ł_-;_-* &quot;-&quot;\ _z_ł_-;_-@_-"/>
    <numFmt numFmtId="171" formatCode="_-* #,##0.00\ _z_ł_-;\-* #,##0.00\ _z_ł_-;_-* &quot;-&quot;??\ _z_ł_-;_-@_-"/>
    <numFmt numFmtId="172" formatCode="_-* #,##0\ _z_ł_-;\-* #,##0\ _z_ł_-;_-* &quot;-&quot;??\ _z_ł_-;_-@_-"/>
    <numFmt numFmtId="173" formatCode="_-* #,##0.000_-;\-* #,##0.000_-;_-* &quot;-&quot;??_-;_-@_-"/>
    <numFmt numFmtId="174" formatCode="_-* #,##0_-;\-* #,##0_-;_-* &quot;-&quot;??_-;_-@_-"/>
    <numFmt numFmtId="175" formatCode="_(* #,##0.000_);_(* \(#,##0.000\);_(* &quot;-&quot;??_);_(@_)"/>
    <numFmt numFmtId="176" formatCode="_-* #,##0.0_-;\-* #,##0.0_-;_-* &quot;-&quot;??_-;_-@_-"/>
    <numFmt numFmtId="177" formatCode="_-* #,##0.00\ _R_O_N_-;\-* #,##0.00\ _R_O_N_-;_-* &quot;-&quot;??\ _R_O_N_-;_-@_-"/>
    <numFmt numFmtId="178" formatCode="_(* #,##0.0_);_(* \(#,##0.0\);_(* &quot;-&quot;?_);_(@_)"/>
    <numFmt numFmtId="179" formatCode="#,##0.0\ [$€-1]_);\(#,##0.0\ [$€-1]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</font>
    <font>
      <sz val="8"/>
      <name val="Arial"/>
      <family val="2"/>
    </font>
    <font>
      <sz val="8"/>
      <color theme="0"/>
      <name val="Arial"/>
      <family val="2"/>
      <charset val="238"/>
    </font>
    <font>
      <sz val="12"/>
      <color rgb="FF0070C0"/>
      <name val="Times New Roman"/>
      <family val="1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i/>
      <sz val="8"/>
      <color theme="1"/>
      <name val="Arial"/>
      <family val="2"/>
    </font>
    <font>
      <b/>
      <i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4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0" applyFont="1"/>
    <xf numFmtId="165" fontId="0" fillId="0" borderId="0" xfId="1" applyNumberFormat="1" applyFont="1" applyBorder="1"/>
    <xf numFmtId="0" fontId="3" fillId="0" borderId="7" xfId="0" applyFont="1" applyBorder="1"/>
    <xf numFmtId="0" fontId="2" fillId="2" borderId="0" xfId="0" applyFont="1" applyFill="1" applyBorder="1"/>
    <xf numFmtId="0" fontId="3" fillId="0" borderId="4" xfId="0" applyFont="1" applyFill="1" applyBorder="1"/>
    <xf numFmtId="0" fontId="2" fillId="0" borderId="0" xfId="0" applyFont="1" applyBorder="1"/>
    <xf numFmtId="0" fontId="0" fillId="3" borderId="2" xfId="0" applyFill="1" applyBorder="1"/>
    <xf numFmtId="0" fontId="0" fillId="0" borderId="0" xfId="0" applyBorder="1"/>
    <xf numFmtId="165" fontId="2" fillId="3" borderId="5" xfId="0" applyNumberFormat="1" applyFont="1" applyFill="1" applyBorder="1"/>
    <xf numFmtId="165" fontId="2" fillId="0" borderId="0" xfId="0" applyNumberFormat="1" applyFont="1"/>
    <xf numFmtId="43" fontId="0" fillId="0" borderId="0" xfId="0" applyNumberFormat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2" fillId="0" borderId="2" xfId="0" applyFont="1" applyFill="1" applyBorder="1"/>
    <xf numFmtId="0" fontId="0" fillId="0" borderId="7" xfId="0" applyFill="1" applyBorder="1"/>
    <xf numFmtId="165" fontId="5" fillId="3" borderId="5" xfId="1" applyNumberFormat="1" applyFont="1" applyFill="1" applyBorder="1"/>
    <xf numFmtId="0" fontId="2" fillId="3" borderId="9" xfId="0" applyFont="1" applyFill="1" applyBorder="1"/>
    <xf numFmtId="0" fontId="0" fillId="3" borderId="10" xfId="0" applyFill="1" applyBorder="1"/>
    <xf numFmtId="165" fontId="0" fillId="0" borderId="0" xfId="0" applyNumberFormat="1" applyBorder="1"/>
    <xf numFmtId="0" fontId="2" fillId="2" borderId="12" xfId="0" applyFont="1" applyFill="1" applyBorder="1"/>
    <xf numFmtId="0" fontId="2" fillId="2" borderId="13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2" borderId="16" xfId="0" applyFont="1" applyFill="1" applyBorder="1"/>
    <xf numFmtId="0" fontId="2" fillId="2" borderId="15" xfId="0" applyFont="1" applyFill="1" applyBorder="1"/>
    <xf numFmtId="0" fontId="2" fillId="3" borderId="17" xfId="0" applyFont="1" applyFill="1" applyBorder="1"/>
    <xf numFmtId="0" fontId="2" fillId="0" borderId="15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22" xfId="0" applyFill="1" applyBorder="1"/>
    <xf numFmtId="0" fontId="2" fillId="3" borderId="18" xfId="0" applyFont="1" applyFill="1" applyBorder="1"/>
    <xf numFmtId="0" fontId="0" fillId="3" borderId="5" xfId="0" applyFill="1" applyBorder="1"/>
    <xf numFmtId="0" fontId="0" fillId="3" borderId="23" xfId="0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3" fillId="0" borderId="5" xfId="0" applyFont="1" applyFill="1" applyBorder="1"/>
    <xf numFmtId="165" fontId="3" fillId="0" borderId="0" xfId="1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8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5" fillId="0" borderId="0" xfId="0" applyFont="1" applyBorder="1"/>
    <xf numFmtId="0" fontId="3" fillId="0" borderId="8" xfId="0" applyFont="1" applyFill="1" applyBorder="1"/>
    <xf numFmtId="0" fontId="3" fillId="0" borderId="7" xfId="0" applyFont="1" applyFill="1" applyBorder="1"/>
    <xf numFmtId="0" fontId="0" fillId="0" borderId="8" xfId="0" applyBorder="1"/>
    <xf numFmtId="0" fontId="0" fillId="4" borderId="10" xfId="0" applyFill="1" applyBorder="1"/>
    <xf numFmtId="0" fontId="0" fillId="4" borderId="11" xfId="0" applyFill="1" applyBorder="1"/>
    <xf numFmtId="0" fontId="3" fillId="4" borderId="9" xfId="0" applyFont="1" applyFill="1" applyBorder="1"/>
    <xf numFmtId="166" fontId="3" fillId="4" borderId="10" xfId="0" applyNumberFormat="1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2" fillId="4" borderId="9" xfId="0" applyFont="1" applyFill="1" applyBorder="1"/>
    <xf numFmtId="165" fontId="0" fillId="0" borderId="0" xfId="0" applyNumberFormat="1"/>
    <xf numFmtId="0" fontId="6" fillId="0" borderId="0" xfId="3" applyFont="1" applyBorder="1" applyAlignment="1">
      <alignment horizontal="left" vertical="center" wrapText="1" indent="2"/>
    </xf>
    <xf numFmtId="170" fontId="7" fillId="0" borderId="0" xfId="3" applyNumberFormat="1" applyFont="1" applyBorder="1" applyAlignment="1">
      <alignment vertical="center"/>
    </xf>
    <xf numFmtId="0" fontId="6" fillId="0" borderId="0" xfId="3" applyFont="1" applyBorder="1" applyAlignment="1">
      <alignment horizontal="left" vertical="center" wrapText="1" indent="3"/>
    </xf>
    <xf numFmtId="0" fontId="8" fillId="0" borderId="0" xfId="3" applyFont="1" applyBorder="1" applyAlignment="1">
      <alignment horizontal="left" vertical="center" wrapText="1" indent="4"/>
    </xf>
    <xf numFmtId="0" fontId="9" fillId="0" borderId="0" xfId="0" applyFont="1" applyFill="1" applyBorder="1" applyAlignment="1">
      <alignment horizontal="center"/>
    </xf>
    <xf numFmtId="169" fontId="0" fillId="5" borderId="0" xfId="0" applyNumberFormat="1" applyFill="1"/>
    <xf numFmtId="165" fontId="5" fillId="0" borderId="0" xfId="1" applyNumberFormat="1" applyFont="1" applyFill="1" applyBorder="1"/>
    <xf numFmtId="43" fontId="0" fillId="0" borderId="0" xfId="0" applyNumberFormat="1"/>
    <xf numFmtId="165" fontId="9" fillId="0" borderId="0" xfId="0" applyNumberFormat="1" applyFont="1"/>
    <xf numFmtId="165" fontId="2" fillId="0" borderId="0" xfId="2" applyNumberFormat="1" applyFont="1"/>
    <xf numFmtId="0" fontId="0" fillId="0" borderId="0" xfId="0" applyFill="1"/>
    <xf numFmtId="171" fontId="11" fillId="0" borderId="0" xfId="0" applyNumberFormat="1" applyFont="1" applyBorder="1"/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/>
    <xf numFmtId="0" fontId="12" fillId="0" borderId="0" xfId="0" applyFont="1" applyBorder="1"/>
    <xf numFmtId="0" fontId="11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172" fontId="11" fillId="0" borderId="24" xfId="0" applyNumberFormat="1" applyFont="1" applyBorder="1" applyAlignment="1">
      <alignment horizontal="center" vertical="center" wrapText="1"/>
    </xf>
    <xf numFmtId="171" fontId="11" fillId="0" borderId="3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 indent="2"/>
    </xf>
    <xf numFmtId="0" fontId="13" fillId="10" borderId="25" xfId="0" applyFont="1" applyFill="1" applyBorder="1" applyAlignment="1">
      <alignment horizontal="left" vertical="center" wrapText="1" indent="2"/>
    </xf>
    <xf numFmtId="0" fontId="13" fillId="10" borderId="26" xfId="0" applyFont="1" applyFill="1" applyBorder="1" applyAlignment="1">
      <alignment horizontal="center" vertical="center" wrapText="1"/>
    </xf>
    <xf numFmtId="0" fontId="13" fillId="10" borderId="27" xfId="0" applyFont="1" applyFill="1" applyBorder="1" applyAlignment="1">
      <alignment horizontal="left" vertical="center" wrapText="1" indent="2"/>
    </xf>
    <xf numFmtId="0" fontId="13" fillId="10" borderId="28" xfId="0" applyFont="1" applyFill="1" applyBorder="1" applyAlignment="1">
      <alignment horizontal="center" vertical="center" wrapText="1"/>
    </xf>
    <xf numFmtId="172" fontId="10" fillId="11" borderId="27" xfId="0" applyNumberFormat="1" applyFont="1" applyFill="1" applyBorder="1" applyAlignment="1">
      <alignment horizontal="justify" vertical="top"/>
    </xf>
    <xf numFmtId="172" fontId="11" fillId="11" borderId="28" xfId="0" applyNumberFormat="1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top"/>
    </xf>
    <xf numFmtId="170" fontId="11" fillId="11" borderId="0" xfId="0" applyNumberFormat="1" applyFont="1" applyFill="1" applyBorder="1" applyAlignment="1">
      <alignment horizontal="left" vertical="top" indent="1"/>
    </xf>
    <xf numFmtId="0" fontId="11" fillId="0" borderId="29" xfId="0" applyFont="1" applyBorder="1"/>
    <xf numFmtId="0" fontId="11" fillId="0" borderId="30" xfId="0" applyFont="1" applyBorder="1"/>
    <xf numFmtId="0" fontId="13" fillId="13" borderId="0" xfId="0" applyFont="1" applyFill="1" applyBorder="1" applyAlignment="1">
      <alignment horizontal="left" vertical="center" wrapText="1"/>
    </xf>
    <xf numFmtId="171" fontId="15" fillId="0" borderId="0" xfId="0" applyNumberFormat="1" applyFont="1" applyFill="1" applyBorder="1" applyAlignment="1">
      <alignment horizontal="center" vertical="center" wrapText="1"/>
    </xf>
    <xf numFmtId="172" fontId="11" fillId="0" borderId="0" xfId="0" applyNumberFormat="1" applyFont="1" applyBorder="1"/>
    <xf numFmtId="172" fontId="14" fillId="0" borderId="27" xfId="0" applyNumberFormat="1" applyFont="1" applyFill="1" applyBorder="1" applyAlignment="1">
      <alignment horizontal="left" vertical="center" wrapText="1" indent="2"/>
    </xf>
    <xf numFmtId="171" fontId="11" fillId="0" borderId="28" xfId="0" applyNumberFormat="1" applyFont="1" applyFill="1" applyBorder="1" applyAlignment="1">
      <alignment horizontal="center"/>
    </xf>
    <xf numFmtId="171" fontId="11" fillId="0" borderId="28" xfId="0" applyNumberFormat="1" applyFont="1" applyFill="1" applyBorder="1"/>
    <xf numFmtId="172" fontId="11" fillId="0" borderId="28" xfId="0" applyNumberFormat="1" applyFont="1" applyFill="1" applyBorder="1" applyAlignment="1">
      <alignment horizontal="center"/>
    </xf>
    <xf numFmtId="172" fontId="10" fillId="0" borderId="27" xfId="0" applyNumberFormat="1" applyFont="1" applyFill="1" applyBorder="1" applyAlignment="1">
      <alignment horizontal="justify" vertical="top"/>
    </xf>
    <xf numFmtId="0" fontId="11" fillId="0" borderId="28" xfId="0" applyFont="1" applyFill="1" applyBorder="1"/>
    <xf numFmtId="0" fontId="2" fillId="0" borderId="0" xfId="0" applyFont="1" applyFill="1" applyBorder="1" applyAlignment="1">
      <alignment horizontal="center"/>
    </xf>
    <xf numFmtId="166" fontId="3" fillId="7" borderId="0" xfId="0" applyNumberFormat="1" applyFont="1" applyFill="1" applyBorder="1"/>
    <xf numFmtId="173" fontId="3" fillId="0" borderId="0" xfId="1" applyNumberFormat="1" applyFont="1" applyFill="1" applyBorder="1"/>
    <xf numFmtId="164" fontId="3" fillId="7" borderId="0" xfId="1" applyFont="1" applyFill="1" applyBorder="1"/>
    <xf numFmtId="167" fontId="3" fillId="7" borderId="5" xfId="0" applyNumberFormat="1" applyFont="1" applyFill="1" applyBorder="1"/>
    <xf numFmtId="0" fontId="16" fillId="0" borderId="0" xfId="0" applyFont="1" applyAlignment="1">
      <alignment vertical="center"/>
    </xf>
    <xf numFmtId="0" fontId="16" fillId="0" borderId="0" xfId="0" applyFont="1"/>
    <xf numFmtId="169" fontId="2" fillId="0" borderId="0" xfId="0" applyNumberFormat="1" applyFont="1" applyFill="1" applyBorder="1"/>
    <xf numFmtId="0" fontId="10" fillId="11" borderId="0" xfId="0" applyFont="1" applyFill="1" applyBorder="1" applyAlignment="1">
      <alignment horizontal="justify" vertical="top"/>
    </xf>
    <xf numFmtId="170" fontId="10" fillId="11" borderId="0" xfId="0" applyNumberFormat="1" applyFont="1" applyFill="1" applyBorder="1" applyAlignment="1">
      <alignment horizontal="left" vertical="top" indent="1"/>
    </xf>
    <xf numFmtId="172" fontId="8" fillId="0" borderId="27" xfId="0" applyNumberFormat="1" applyFont="1" applyFill="1" applyBorder="1" applyAlignment="1">
      <alignment horizontal="left" vertical="center" wrapText="1" indent="2"/>
    </xf>
    <xf numFmtId="172" fontId="17" fillId="0" borderId="27" xfId="0" applyNumberFormat="1" applyFont="1" applyFill="1" applyBorder="1" applyAlignment="1">
      <alignment horizontal="left" vertical="center" wrapText="1" indent="2"/>
    </xf>
    <xf numFmtId="173" fontId="0" fillId="0" borderId="0" xfId="0" applyNumberFormat="1"/>
    <xf numFmtId="0" fontId="6" fillId="14" borderId="0" xfId="3" applyFont="1" applyFill="1" applyBorder="1" applyAlignment="1">
      <alignment horizontal="left" vertical="center" wrapText="1" indent="2"/>
    </xf>
    <xf numFmtId="43" fontId="2" fillId="0" borderId="0" xfId="0" applyNumberFormat="1" applyFont="1"/>
    <xf numFmtId="43" fontId="0" fillId="0" borderId="0" xfId="0" applyNumberFormat="1" applyFill="1" applyBorder="1"/>
    <xf numFmtId="172" fontId="11" fillId="8" borderId="10" xfId="0" applyNumberFormat="1" applyFont="1" applyFill="1" applyBorder="1" applyAlignment="1">
      <alignment horizontal="center"/>
    </xf>
    <xf numFmtId="174" fontId="11" fillId="0" borderId="27" xfId="1" applyNumberFormat="1" applyFont="1" applyFill="1" applyBorder="1" applyAlignment="1">
      <alignment horizontal="center" vertical="top"/>
    </xf>
    <xf numFmtId="170" fontId="7" fillId="0" borderId="0" xfId="3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wrapText="1"/>
    </xf>
    <xf numFmtId="0" fontId="0" fillId="7" borderId="0" xfId="0" applyFill="1" applyBorder="1"/>
    <xf numFmtId="0" fontId="2" fillId="0" borderId="0" xfId="0" applyFont="1" applyFill="1" applyBorder="1" applyAlignment="1">
      <alignment wrapText="1"/>
    </xf>
    <xf numFmtId="170" fontId="7" fillId="0" borderId="5" xfId="3" applyNumberFormat="1" applyFont="1" applyBorder="1" applyAlignment="1">
      <alignment vertical="center"/>
    </xf>
    <xf numFmtId="165" fontId="2" fillId="0" borderId="0" xfId="0" applyNumberFormat="1" applyFont="1" applyFill="1" applyBorder="1"/>
    <xf numFmtId="0" fontId="2" fillId="0" borderId="16" xfId="0" applyFont="1" applyFill="1" applyBorder="1"/>
    <xf numFmtId="165" fontId="0" fillId="0" borderId="0" xfId="0" applyNumberFormat="1" applyFill="1"/>
    <xf numFmtId="172" fontId="14" fillId="6" borderId="27" xfId="0" applyNumberFormat="1" applyFont="1" applyFill="1" applyBorder="1" applyAlignment="1">
      <alignment horizontal="left" vertical="center" wrapText="1" indent="2"/>
    </xf>
    <xf numFmtId="174" fontId="11" fillId="6" borderId="27" xfId="1" applyNumberFormat="1" applyFont="1" applyFill="1" applyBorder="1" applyAlignment="1">
      <alignment horizontal="center" vertical="top"/>
    </xf>
    <xf numFmtId="0" fontId="0" fillId="12" borderId="0" xfId="0" applyFill="1"/>
    <xf numFmtId="164" fontId="0" fillId="12" borderId="0" xfId="1" applyFont="1" applyFill="1"/>
    <xf numFmtId="43" fontId="0" fillId="12" borderId="0" xfId="0" applyNumberFormat="1" applyFill="1"/>
    <xf numFmtId="172" fontId="14" fillId="12" borderId="27" xfId="0" applyNumberFormat="1" applyFont="1" applyFill="1" applyBorder="1" applyAlignment="1">
      <alignment horizontal="left" vertical="center" wrapText="1" indent="2"/>
    </xf>
    <xf numFmtId="43" fontId="14" fillId="12" borderId="27" xfId="0" applyNumberFormat="1" applyFont="1" applyFill="1" applyBorder="1" applyAlignment="1">
      <alignment horizontal="left" vertical="center" wrapText="1" indent="2"/>
    </xf>
    <xf numFmtId="9" fontId="0" fillId="12" borderId="0" xfId="2" applyFont="1" applyFill="1"/>
    <xf numFmtId="174" fontId="11" fillId="12" borderId="27" xfId="1" applyNumberFormat="1" applyFont="1" applyFill="1" applyBorder="1" applyAlignment="1">
      <alignment horizontal="center" vertical="top"/>
    </xf>
    <xf numFmtId="164" fontId="8" fillId="0" borderId="27" xfId="1" applyFont="1" applyFill="1" applyBorder="1" applyAlignment="1">
      <alignment horizontal="left" vertical="center" wrapText="1" indent="2"/>
    </xf>
    <xf numFmtId="164" fontId="13" fillId="12" borderId="0" xfId="1" applyFont="1" applyFill="1" applyBorder="1" applyAlignment="1">
      <alignment horizontal="left" vertical="center" wrapText="1"/>
    </xf>
    <xf numFmtId="164" fontId="11" fillId="0" borderId="0" xfId="1" applyFont="1" applyFill="1" applyBorder="1" applyAlignment="1">
      <alignment horizontal="center" vertical="center" wrapText="1"/>
    </xf>
    <xf numFmtId="164" fontId="11" fillId="0" borderId="30" xfId="1" applyFont="1" applyBorder="1"/>
    <xf numFmtId="164" fontId="11" fillId="0" borderId="0" xfId="1" applyFont="1"/>
    <xf numFmtId="9" fontId="0" fillId="0" borderId="0" xfId="2" applyFont="1"/>
    <xf numFmtId="4" fontId="10" fillId="0" borderId="28" xfId="0" applyNumberFormat="1" applyFont="1" applyFill="1" applyBorder="1" applyAlignment="1">
      <alignment horizontal="right" vertical="center" wrapText="1" indent="1"/>
    </xf>
    <xf numFmtId="164" fontId="17" fillId="0" borderId="27" xfId="1" applyFont="1" applyFill="1" applyBorder="1" applyAlignment="1">
      <alignment horizontal="left" vertical="center" wrapText="1" indent="2"/>
    </xf>
    <xf numFmtId="43" fontId="11" fillId="6" borderId="28" xfId="0" applyNumberFormat="1" applyFont="1" applyFill="1" applyBorder="1" applyAlignment="1">
      <alignment horizontal="center"/>
    </xf>
    <xf numFmtId="0" fontId="0" fillId="15" borderId="0" xfId="0" applyFill="1"/>
    <xf numFmtId="10" fontId="0" fillId="15" borderId="12" xfId="2" applyNumberFormat="1" applyFont="1" applyFill="1" applyBorder="1"/>
    <xf numFmtId="10" fontId="0" fillId="15" borderId="14" xfId="0" applyNumberFormat="1" applyFill="1" applyBorder="1"/>
    <xf numFmtId="10" fontId="0" fillId="15" borderId="15" xfId="2" applyNumberFormat="1" applyFont="1" applyFill="1" applyBorder="1"/>
    <xf numFmtId="0" fontId="0" fillId="15" borderId="16" xfId="0" applyFill="1" applyBorder="1"/>
    <xf numFmtId="10" fontId="0" fillId="15" borderId="19" xfId="2" applyNumberFormat="1" applyFont="1" applyFill="1" applyBorder="1"/>
    <xf numFmtId="0" fontId="0" fillId="15" borderId="21" xfId="0" applyFill="1" applyBorder="1"/>
    <xf numFmtId="172" fontId="14" fillId="15" borderId="27" xfId="0" applyNumberFormat="1" applyFont="1" applyFill="1" applyBorder="1" applyAlignment="1">
      <alignment horizontal="left" vertical="center" wrapText="1" indent="2"/>
    </xf>
    <xf numFmtId="174" fontId="11" fillId="15" borderId="27" xfId="1" applyNumberFormat="1" applyFont="1" applyFill="1" applyBorder="1" applyAlignment="1">
      <alignment horizontal="center" vertical="top"/>
    </xf>
    <xf numFmtId="174" fontId="8" fillId="0" borderId="27" xfId="1" applyNumberFormat="1" applyFont="1" applyFill="1" applyBorder="1" applyAlignment="1">
      <alignment horizontal="left" vertical="center" wrapText="1" indent="2"/>
    </xf>
    <xf numFmtId="43" fontId="14" fillId="15" borderId="27" xfId="0" applyNumberFormat="1" applyFont="1" applyFill="1" applyBorder="1" applyAlignment="1">
      <alignment horizontal="left" vertical="center" wrapText="1" indent="2"/>
    </xf>
    <xf numFmtId="0" fontId="2" fillId="15" borderId="0" xfId="0" applyFont="1" applyFill="1"/>
    <xf numFmtId="0" fontId="2" fillId="12" borderId="0" xfId="0" applyFont="1" applyFill="1"/>
    <xf numFmtId="171" fontId="10" fillId="0" borderId="0" xfId="0" applyNumberFormat="1" applyFont="1" applyBorder="1"/>
    <xf numFmtId="171" fontId="11" fillId="0" borderId="5" xfId="0" applyNumberFormat="1" applyFont="1" applyBorder="1"/>
    <xf numFmtId="171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164" fontId="11" fillId="0" borderId="0" xfId="1" applyFont="1" applyBorder="1"/>
    <xf numFmtId="43" fontId="11" fillId="0" borderId="0" xfId="0" applyNumberFormat="1" applyFont="1" applyBorder="1"/>
    <xf numFmtId="174" fontId="8" fillId="0" borderId="11" xfId="1" applyNumberFormat="1" applyFont="1" applyFill="1" applyBorder="1" applyAlignment="1">
      <alignment horizontal="left" vertical="center" wrapText="1" indent="2"/>
    </xf>
    <xf numFmtId="164" fontId="8" fillId="0" borderId="11" xfId="1" applyFont="1" applyFill="1" applyBorder="1" applyAlignment="1">
      <alignment horizontal="left" vertical="center" wrapText="1" indent="2"/>
    </xf>
    <xf numFmtId="0" fontId="11" fillId="9" borderId="9" xfId="0" applyFont="1" applyFill="1" applyBorder="1" applyAlignment="1">
      <alignment horizontal="center"/>
    </xf>
    <xf numFmtId="0" fontId="20" fillId="6" borderId="13" xfId="4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0" xfId="0" applyFill="1" applyBorder="1"/>
    <xf numFmtId="0" fontId="0" fillId="6" borderId="16" xfId="0" applyFill="1" applyBorder="1"/>
    <xf numFmtId="0" fontId="0" fillId="6" borderId="15" xfId="0" applyFill="1" applyBorder="1"/>
    <xf numFmtId="10" fontId="0" fillId="6" borderId="0" xfId="0" applyNumberFormat="1" applyFill="1" applyBorder="1"/>
    <xf numFmtId="0" fontId="0" fillId="6" borderId="19" xfId="0" applyFill="1" applyBorder="1"/>
    <xf numFmtId="168" fontId="0" fillId="6" borderId="20" xfId="2" applyNumberFormat="1" applyFont="1" applyFill="1" applyBorder="1" applyAlignment="1">
      <alignment horizontal="center"/>
    </xf>
    <xf numFmtId="0" fontId="20" fillId="6" borderId="20" xfId="4" applyFill="1" applyBorder="1"/>
    <xf numFmtId="0" fontId="0" fillId="6" borderId="20" xfId="0" applyFill="1" applyBorder="1"/>
    <xf numFmtId="0" fontId="0" fillId="6" borderId="21" xfId="0" applyFill="1" applyBorder="1"/>
    <xf numFmtId="0" fontId="21" fillId="0" borderId="0" xfId="0" applyFont="1" applyBorder="1"/>
    <xf numFmtId="171" fontId="21" fillId="0" borderId="0" xfId="0" applyNumberFormat="1" applyFont="1" applyBorder="1"/>
    <xf numFmtId="0" fontId="21" fillId="0" borderId="0" xfId="0" applyFont="1" applyFill="1" applyBorder="1"/>
    <xf numFmtId="0" fontId="21" fillId="0" borderId="0" xfId="0" applyFont="1"/>
    <xf numFmtId="0" fontId="22" fillId="0" borderId="0" xfId="0" applyFont="1" applyBorder="1"/>
    <xf numFmtId="43" fontId="0" fillId="15" borderId="0" xfId="0" applyNumberFormat="1" applyFill="1"/>
    <xf numFmtId="0" fontId="0" fillId="15" borderId="23" xfId="0" applyFill="1" applyBorder="1"/>
    <xf numFmtId="172" fontId="21" fillId="0" borderId="0" xfId="0" applyNumberFormat="1" applyFont="1" applyBorder="1"/>
    <xf numFmtId="164" fontId="0" fillId="12" borderId="0" xfId="0" applyNumberFormat="1" applyFill="1"/>
    <xf numFmtId="174" fontId="0" fillId="0" borderId="0" xfId="1" applyNumberFormat="1" applyFont="1"/>
    <xf numFmtId="0" fontId="11" fillId="0" borderId="0" xfId="0" applyFont="1" applyBorder="1" applyAlignment="1">
      <alignment horizontal="center" wrapText="1"/>
    </xf>
    <xf numFmtId="172" fontId="11" fillId="8" borderId="1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3" fontId="8" fillId="0" borderId="11" xfId="1" applyNumberFormat="1" applyFont="1" applyFill="1" applyBorder="1" applyAlignment="1">
      <alignment horizontal="left" vertical="center" wrapText="1" indent="2"/>
    </xf>
    <xf numFmtId="175" fontId="0" fillId="0" borderId="0" xfId="0" applyNumberFormat="1"/>
    <xf numFmtId="43" fontId="0" fillId="0" borderId="5" xfId="0" applyNumberFormat="1" applyBorder="1"/>
    <xf numFmtId="9" fontId="11" fillId="0" borderId="0" xfId="2" applyFont="1" applyBorder="1"/>
    <xf numFmtId="0" fontId="23" fillId="0" borderId="0" xfId="0" applyFont="1" applyBorder="1"/>
    <xf numFmtId="171" fontId="23" fillId="0" borderId="0" xfId="0" applyNumberFormat="1" applyFont="1" applyBorder="1"/>
    <xf numFmtId="171" fontId="11" fillId="0" borderId="0" xfId="0" applyNumberFormat="1" applyFont="1" applyFill="1" applyBorder="1"/>
    <xf numFmtId="0" fontId="0" fillId="0" borderId="0" xfId="0" applyAlignment="1">
      <alignment vertical="center"/>
    </xf>
    <xf numFmtId="174" fontId="0" fillId="0" borderId="5" xfId="1" applyNumberFormat="1" applyFont="1" applyBorder="1"/>
    <xf numFmtId="174" fontId="2" fillId="0" borderId="0" xfId="1" applyNumberFormat="1" applyFont="1"/>
    <xf numFmtId="165" fontId="0" fillId="0" borderId="5" xfId="0" applyNumberFormat="1" applyBorder="1"/>
    <xf numFmtId="174" fontId="11" fillId="0" borderId="0" xfId="1" applyNumberFormat="1" applyFont="1" applyBorder="1" applyAlignment="1">
      <alignment horizontal="center"/>
    </xf>
    <xf numFmtId="174" fontId="11" fillId="0" borderId="0" xfId="1" applyNumberFormat="1" applyFont="1" applyBorder="1"/>
    <xf numFmtId="174" fontId="10" fillId="0" borderId="0" xfId="1" applyNumberFormat="1" applyFont="1" applyBorder="1"/>
    <xf numFmtId="0" fontId="9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3" fontId="0" fillId="0" borderId="0" xfId="1" applyNumberFormat="1" applyFont="1"/>
    <xf numFmtId="43" fontId="0" fillId="0" borderId="5" xfId="1" applyNumberFormat="1" applyFont="1" applyBorder="1"/>
    <xf numFmtId="176" fontId="17" fillId="0" borderId="27" xfId="1" applyNumberFormat="1" applyFont="1" applyFill="1" applyBorder="1" applyAlignment="1">
      <alignment horizontal="left" vertical="center" wrapText="1" indent="2"/>
    </xf>
    <xf numFmtId="164" fontId="17" fillId="0" borderId="27" xfId="1" applyNumberFormat="1" applyFont="1" applyFill="1" applyBorder="1" applyAlignment="1">
      <alignment horizontal="left" vertical="center" wrapText="1" indent="2"/>
    </xf>
    <xf numFmtId="43" fontId="11" fillId="0" borderId="5" xfId="0" applyNumberFormat="1" applyFont="1" applyBorder="1"/>
    <xf numFmtId="0" fontId="0" fillId="16" borderId="0" xfId="0" applyFill="1" applyBorder="1"/>
    <xf numFmtId="0" fontId="2" fillId="16" borderId="0" xfId="0" applyFont="1" applyFill="1" applyBorder="1" applyAlignment="1">
      <alignment wrapText="1"/>
    </xf>
    <xf numFmtId="9" fontId="0" fillId="0" borderId="0" xfId="0" applyNumberFormat="1"/>
    <xf numFmtId="164" fontId="0" fillId="15" borderId="0" xfId="1" applyFont="1" applyFill="1"/>
    <xf numFmtId="178" fontId="0" fillId="0" borderId="0" xfId="0" applyNumberFormat="1"/>
    <xf numFmtId="179" fontId="0" fillId="0" borderId="0" xfId="0" applyNumberFormat="1" applyFill="1" applyBorder="1"/>
    <xf numFmtId="172" fontId="11" fillId="8" borderId="10" xfId="0" applyNumberFormat="1" applyFont="1" applyFill="1" applyBorder="1" applyAlignment="1">
      <alignment horizontal="center"/>
    </xf>
    <xf numFmtId="0" fontId="11" fillId="0" borderId="0" xfId="0" applyNumberFormat="1" applyFont="1" applyBorder="1"/>
    <xf numFmtId="0" fontId="10" fillId="0" borderId="0" xfId="0" applyNumberFormat="1" applyFont="1" applyBorder="1"/>
    <xf numFmtId="0" fontId="6" fillId="0" borderId="28" xfId="0" applyFont="1" applyFill="1" applyBorder="1" applyAlignment="1">
      <alignment horizontal="left" vertical="center"/>
    </xf>
    <xf numFmtId="0" fontId="2" fillId="6" borderId="12" xfId="0" applyFont="1" applyFill="1" applyBorder="1"/>
    <xf numFmtId="10" fontId="0" fillId="6" borderId="13" xfId="2" applyNumberFormat="1" applyFont="1" applyFill="1" applyBorder="1" applyAlignment="1">
      <alignment horizontal="center"/>
    </xf>
    <xf numFmtId="174" fontId="0" fillId="16" borderId="0" xfId="1" applyNumberFormat="1" applyFont="1" applyFill="1" applyBorder="1"/>
    <xf numFmtId="170" fontId="7" fillId="16" borderId="0" xfId="3" applyNumberFormat="1" applyFont="1" applyFill="1" applyBorder="1" applyAlignment="1">
      <alignment vertical="center"/>
    </xf>
    <xf numFmtId="165" fontId="2" fillId="7" borderId="0" xfId="0" applyNumberFormat="1" applyFont="1" applyFill="1" applyBorder="1"/>
    <xf numFmtId="167" fontId="3" fillId="0" borderId="0" xfId="0" applyNumberFormat="1" applyFont="1" applyFill="1" applyBorder="1"/>
    <xf numFmtId="0" fontId="2" fillId="0" borderId="9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9" fontId="26" fillId="0" borderId="0" xfId="2" applyFont="1" applyFill="1"/>
    <xf numFmtId="0" fontId="26" fillId="0" borderId="0" xfId="0" applyFont="1" applyFill="1"/>
    <xf numFmtId="164" fontId="0" fillId="7" borderId="0" xfId="1" applyFont="1" applyFill="1"/>
    <xf numFmtId="0" fontId="0" fillId="7" borderId="0" xfId="0" applyFill="1"/>
    <xf numFmtId="170" fontId="7" fillId="7" borderId="0" xfId="3" applyNumberFormat="1" applyFont="1" applyFill="1" applyBorder="1" applyAlignment="1">
      <alignment vertical="center"/>
    </xf>
    <xf numFmtId="170" fontId="7" fillId="7" borderId="5" xfId="3" applyNumberFormat="1" applyFont="1" applyFill="1" applyBorder="1" applyAlignment="1">
      <alignment vertical="center"/>
    </xf>
    <xf numFmtId="165" fontId="5" fillId="7" borderId="0" xfId="1" applyNumberFormat="1" applyFont="1" applyFill="1" applyBorder="1"/>
    <xf numFmtId="43" fontId="3" fillId="7" borderId="0" xfId="0" applyNumberFormat="1" applyFont="1" applyFill="1" applyBorder="1"/>
    <xf numFmtId="0" fontId="2" fillId="7" borderId="0" xfId="0" applyFont="1" applyFill="1"/>
    <xf numFmtId="172" fontId="11" fillId="8" borderId="10" xfId="0" applyNumberFormat="1" applyFont="1" applyFill="1" applyBorder="1" applyAlignment="1">
      <alignment horizontal="center"/>
    </xf>
    <xf numFmtId="172" fontId="11" fillId="8" borderId="11" xfId="0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9">
    <cellStyle name="Comma" xfId="1" builtinId="3"/>
    <cellStyle name="Comma 2" xfId="7"/>
    <cellStyle name="Comma 3" xfId="6"/>
    <cellStyle name="Comma 4" xfId="8"/>
    <cellStyle name="Hyperlink" xfId="4" builtinId="8"/>
    <cellStyle name="Normal" xfId="0" builtinId="0"/>
    <cellStyle name="Normal 3" xfId="5"/>
    <cellStyle name="Normal 5 3" xfId="3"/>
    <cellStyle name="Percent" xfId="2" builtinId="5"/>
  </cellStyles>
  <dxfs count="0"/>
  <tableStyles count="0" defaultTableStyle="TableStyleMedium9" defaultPivotStyle="PivotStyleLight16"/>
  <colors>
    <mruColors>
      <color rgb="FFCCFF99"/>
      <color rgb="FF9933FF"/>
      <color rgb="FFFF00FF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ditii%20acces%20infrastructura\RCS%20Oradea\calcul%20tari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tarife"/>
      <sheetName val="CAPEX"/>
      <sheetName val="OPEX"/>
      <sheetName val="capacitati retea"/>
      <sheetName val="matrice alocare"/>
      <sheetName val="Sumar BP"/>
      <sheetName val="Venituri"/>
      <sheetName val="imprumut"/>
      <sheetName val="redevente"/>
    </sheetNames>
    <sheetDataSet>
      <sheetData sheetId="0"/>
      <sheetData sheetId="1"/>
      <sheetData sheetId="2"/>
      <sheetData sheetId="3">
        <row r="14">
          <cell r="C14">
            <v>4</v>
          </cell>
        </row>
        <row r="16">
          <cell r="C16">
            <v>0.83191162423688692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ncom.org.ro/uploads/links_files/CMPC_operatori_ficsi_si_mobili_-_14.pdf" TargetMode="Externa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"/>
  <sheetViews>
    <sheetView tabSelected="1" workbookViewId="0">
      <selection activeCell="B3" sqref="B3"/>
    </sheetView>
  </sheetViews>
  <sheetFormatPr defaultRowHeight="15" x14ac:dyDescent="0.25"/>
  <sheetData>
    <row r="2" spans="2:9" x14ac:dyDescent="0.25">
      <c r="B2" s="246" t="s">
        <v>133</v>
      </c>
      <c r="C2" s="241"/>
      <c r="D2" s="241"/>
      <c r="E2" s="241"/>
      <c r="F2" s="241"/>
      <c r="G2" s="241"/>
      <c r="H2" s="241"/>
      <c r="I2" s="24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44"/>
  <sheetViews>
    <sheetView topLeftCell="A15" zoomScale="120" zoomScaleNormal="120" workbookViewId="0">
      <selection activeCell="C32" sqref="C32"/>
    </sheetView>
  </sheetViews>
  <sheetFormatPr defaultColWidth="9.140625" defaultRowHeight="11.25" x14ac:dyDescent="0.2"/>
  <cols>
    <col min="1" max="1" width="2.7109375" style="74" customWidth="1"/>
    <col min="2" max="2" width="27.28515625" style="72" customWidth="1"/>
    <col min="3" max="3" width="10.7109375" style="71" bestFit="1" customWidth="1"/>
    <col min="4" max="4" width="13" style="71" customWidth="1"/>
    <col min="5" max="5" width="11.42578125" style="72" bestFit="1" customWidth="1"/>
    <col min="6" max="6" width="12.42578125" style="72" bestFit="1" customWidth="1"/>
    <col min="7" max="7" width="3.28515625" style="73" customWidth="1"/>
    <col min="8" max="8" width="50.7109375" style="74" customWidth="1"/>
    <col min="9" max="16384" width="9.140625" style="74"/>
  </cols>
  <sheetData>
    <row r="1" spans="2:8" x14ac:dyDescent="0.2">
      <c r="B1" s="75"/>
      <c r="D1" s="224"/>
      <c r="E1" s="119"/>
      <c r="F1" s="169"/>
      <c r="G1" s="76"/>
    </row>
    <row r="2" spans="2:8" ht="79.5" thickBot="1" x14ac:dyDescent="0.25">
      <c r="B2" s="227" t="s">
        <v>131</v>
      </c>
      <c r="C2" s="78"/>
      <c r="D2" s="79" t="s">
        <v>49</v>
      </c>
      <c r="E2" s="79" t="s">
        <v>92</v>
      </c>
      <c r="F2" s="80" t="s">
        <v>52</v>
      </c>
      <c r="G2" s="81"/>
    </row>
    <row r="3" spans="2:8" ht="12" thickBot="1" x14ac:dyDescent="0.25">
      <c r="B3" s="82"/>
      <c r="C3" s="83"/>
      <c r="D3" s="84"/>
      <c r="E3" s="84"/>
      <c r="F3" s="84"/>
      <c r="G3" s="81"/>
    </row>
    <row r="4" spans="2:8" x14ac:dyDescent="0.2">
      <c r="B4" s="82" t="s">
        <v>45</v>
      </c>
      <c r="C4" s="85" t="s">
        <v>96</v>
      </c>
      <c r="D4" s="86" t="s">
        <v>53</v>
      </c>
      <c r="E4" s="86" t="s">
        <v>95</v>
      </c>
      <c r="F4" s="84" t="s">
        <v>90</v>
      </c>
      <c r="G4" s="81"/>
    </row>
    <row r="5" spans="2:8" ht="12" thickBot="1" x14ac:dyDescent="0.25">
      <c r="B5" s="111" t="s">
        <v>46</v>
      </c>
      <c r="C5" s="87"/>
      <c r="D5" s="88"/>
      <c r="E5" s="89"/>
      <c r="F5" s="89"/>
      <c r="G5" s="81"/>
      <c r="H5" s="90" t="s">
        <v>47</v>
      </c>
    </row>
    <row r="6" spans="2:8" x14ac:dyDescent="0.2">
      <c r="B6" s="91" t="s">
        <v>57</v>
      </c>
      <c r="C6" s="154">
        <f>CAPEX!G6/12</f>
        <v>3577.7761077861051</v>
      </c>
      <c r="D6" s="157">
        <f>C6/'capacitati retea'!$H$3/SUM('capacitati retea'!$C$4:$C$5)*'matrice alocare'!$H$10</f>
        <v>5.7913899311881734</v>
      </c>
      <c r="E6" s="157">
        <f>C6*'matrice alocare'!$H$13/'capacitati retea'!$H$10/SUM('capacitati retea'!$C$9:$C$10)</f>
        <v>8.7038239661100683</v>
      </c>
      <c r="F6" s="100">
        <v>0</v>
      </c>
      <c r="H6" s="92" t="s">
        <v>106</v>
      </c>
    </row>
    <row r="7" spans="2:8" x14ac:dyDescent="0.2">
      <c r="B7" s="91" t="s">
        <v>58</v>
      </c>
      <c r="C7" s="129">
        <f>CAPEX!G7/12</f>
        <v>13529.399270674863</v>
      </c>
      <c r="D7" s="97">
        <v>0</v>
      </c>
      <c r="E7" s="99"/>
      <c r="F7" s="146">
        <f>C7/'capacitati retea'!$C$12/SUM('capacitati retea'!$C$13,'capacitati retea'!$C$15)</f>
        <v>1.1469480561779302</v>
      </c>
      <c r="H7" s="93" t="s">
        <v>91</v>
      </c>
    </row>
    <row r="8" spans="2:8" x14ac:dyDescent="0.2">
      <c r="B8" s="91" t="s">
        <v>59</v>
      </c>
      <c r="C8" s="134">
        <f>CAPEX!G8/12</f>
        <v>4752.6541328768972</v>
      </c>
      <c r="D8" s="135">
        <f>C8/'capacitati retea'!$C$3/SUM('capacitati retea'!$C$4:$C$5)*'matrice alocare'!$F$19</f>
        <v>7.6474162308783669</v>
      </c>
      <c r="E8" s="135">
        <f>C8*'matrice alocare'!$F$20/'capacitati retea'!$H$10/SUM('capacitati retea'!$C$9:$C$10)</f>
        <v>4.5656266531984064</v>
      </c>
      <c r="F8" s="135">
        <f>C8*'matrice alocare'!F21/'capacitati retea'!C12/SUM('capacitati retea'!C13,'capacitati retea'!C15)</f>
        <v>5.56175725882063E-2</v>
      </c>
      <c r="H8" s="93" t="s">
        <v>107</v>
      </c>
    </row>
    <row r="9" spans="2:8" x14ac:dyDescent="0.2">
      <c r="B9" s="91" t="s">
        <v>60</v>
      </c>
      <c r="C9" s="134">
        <f>CAPEX!G9/12</f>
        <v>27058.798541349726</v>
      </c>
      <c r="D9" s="135">
        <f>C9/'capacitati retea'!$C$3/SUM('capacitati retea'!$C$4:$C$5)*'matrice alocare'!$F$19</f>
        <v>43.53985991148194</v>
      </c>
      <c r="E9" s="135">
        <f>C9*'matrice alocare'!$F$20/'capacitati retea'!$H$10/SUM('capacitati retea'!$C$9:$C$10)</f>
        <v>25.993974812791702</v>
      </c>
      <c r="F9" s="135">
        <f>C9*'matrice alocare'!$F$21/'capacitati retea'!$C$12/SUM('capacitati retea'!$C$13,'capacitati retea'!$C$15)</f>
        <v>0.31665352662895957</v>
      </c>
      <c r="H9" s="93" t="s">
        <v>107</v>
      </c>
    </row>
    <row r="10" spans="2:8" x14ac:dyDescent="0.2">
      <c r="B10" s="112" t="s">
        <v>61</v>
      </c>
      <c r="C10" s="113">
        <f>SUM(C6:C9)</f>
        <v>48918.628052687593</v>
      </c>
      <c r="D10" s="138">
        <f t="shared" ref="D10:F10" si="0">SUM(D6:D9)</f>
        <v>56.978666073548482</v>
      </c>
      <c r="E10" s="138">
        <f t="shared" si="0"/>
        <v>39.263425432100178</v>
      </c>
      <c r="F10" s="138">
        <f t="shared" si="0"/>
        <v>1.519219155395096</v>
      </c>
      <c r="H10" s="93"/>
    </row>
    <row r="11" spans="2:8" ht="12" thickBot="1" x14ac:dyDescent="0.25">
      <c r="B11" s="111" t="s">
        <v>48</v>
      </c>
      <c r="C11" s="101"/>
      <c r="D11" s="101"/>
      <c r="E11" s="102"/>
      <c r="F11" s="102"/>
      <c r="H11" s="93"/>
    </row>
    <row r="12" spans="2:8" x14ac:dyDescent="0.2">
      <c r="B12" s="91" t="s">
        <v>57</v>
      </c>
      <c r="C12" s="155">
        <f>$C$16*'matrice alocare'!D2</f>
        <v>762.06524420418327</v>
      </c>
      <c r="D12" s="157">
        <f>C12/'capacitati retea'!$H$3/SUM('capacitati retea'!$C$4:$C$5)*'matrice alocare'!$H$10</f>
        <v>1.2335643285749218</v>
      </c>
      <c r="E12" s="157">
        <f>C12*'matrice alocare'!$H$13/'capacitati retea'!$H$10/SUM('capacitati retea'!$C$9:$C$10)</f>
        <v>1.8539119096382639</v>
      </c>
      <c r="F12" s="100">
        <v>0</v>
      </c>
      <c r="H12" s="92" t="s">
        <v>106</v>
      </c>
    </row>
    <row r="13" spans="2:8" x14ac:dyDescent="0.2">
      <c r="B13" s="91" t="s">
        <v>58</v>
      </c>
      <c r="C13" s="130">
        <f>$C$16*'matrice alocare'!D3</f>
        <v>2881.7580107109184</v>
      </c>
      <c r="D13" s="120">
        <v>0</v>
      </c>
      <c r="E13" s="102"/>
      <c r="F13" s="146">
        <f>C13/'capacitati retea'!$C$12/SUM('capacitati retea'!$C$13,'capacitati retea'!$C$15)</f>
        <v>0.24429959399041357</v>
      </c>
      <c r="H13" s="93" t="s">
        <v>91</v>
      </c>
    </row>
    <row r="14" spans="2:8" x14ac:dyDescent="0.2">
      <c r="B14" s="91" t="s">
        <v>59</v>
      </c>
      <c r="C14" s="137">
        <f>$C$16*'matrice alocare'!D4</f>
        <v>432.26370160663777</v>
      </c>
      <c r="D14" s="135">
        <f>C14/'capacitati retea'!$C$3/SUM('capacitati retea'!$C$4:$C$5)*'matrice alocare'!$F$19</f>
        <v>0.69554828844343952</v>
      </c>
      <c r="E14" s="135">
        <f>C14*'matrice alocare'!$F$20/'capacitati retea'!$H$10/SUM('capacitati retea'!$C$9:$C$10)</f>
        <v>0.41525316635461273</v>
      </c>
      <c r="F14" s="135">
        <f>C14*'matrice alocare'!$F$21/'capacitati retea'!$C$12/SUM('capacitati retea'!$C$13,'capacitati retea'!$C$15)</f>
        <v>5.0585330068613783E-3</v>
      </c>
      <c r="H14" s="93" t="s">
        <v>107</v>
      </c>
    </row>
    <row r="15" spans="2:8" x14ac:dyDescent="0.2">
      <c r="B15" s="91" t="s">
        <v>60</v>
      </c>
      <c r="C15" s="137">
        <f>$C$16*'matrice alocare'!D5</f>
        <v>0</v>
      </c>
      <c r="D15" s="135">
        <f>C15/'capacitati retea'!$C$3/SUM('capacitati retea'!$C$4:$C$5)*'matrice alocare'!$F$19</f>
        <v>0</v>
      </c>
      <c r="E15" s="135">
        <f>C15*'matrice alocare'!$F$20/'capacitati retea'!$H$10/SUM('capacitati retea'!$C$9:$C$10)</f>
        <v>0</v>
      </c>
      <c r="F15" s="135">
        <f>C15*'matrice alocare'!$F$21/'capacitati retea'!$C$12/SUM('capacitati retea'!$C$13,'capacitati retea'!$C$15)</f>
        <v>0</v>
      </c>
      <c r="G15" s="81"/>
      <c r="H15" s="93" t="s">
        <v>107</v>
      </c>
    </row>
    <row r="16" spans="2:8" x14ac:dyDescent="0.2">
      <c r="B16" s="112" t="s">
        <v>62</v>
      </c>
      <c r="C16" s="113">
        <f>OPEX!J22/12</f>
        <v>4076.0869565217395</v>
      </c>
      <c r="D16" s="138">
        <f>SUM(D12:D15)</f>
        <v>1.9291126170183612</v>
      </c>
      <c r="E16" s="138">
        <f t="shared" ref="E16" si="1">SUM(E12:E15)</f>
        <v>2.2691650759928765</v>
      </c>
      <c r="F16" s="138">
        <f t="shared" ref="F16" si="2">SUM(F12:F15)</f>
        <v>0.24935812699727494</v>
      </c>
      <c r="G16" s="140"/>
      <c r="H16" s="93"/>
    </row>
    <row r="17" spans="2:8" s="142" customFormat="1" x14ac:dyDescent="0.2">
      <c r="B17" s="112" t="s">
        <v>63</v>
      </c>
      <c r="C17" s="156">
        <f>C10+C16</f>
        <v>52994.715009209329</v>
      </c>
      <c r="D17" s="138">
        <f t="shared" ref="D17:F17" si="3">D10+D16</f>
        <v>58.907778690566843</v>
      </c>
      <c r="E17" s="138">
        <f t="shared" si="3"/>
        <v>41.532590508093051</v>
      </c>
      <c r="F17" s="138">
        <f t="shared" si="3"/>
        <v>1.7685772823923709</v>
      </c>
      <c r="G17" s="140"/>
      <c r="H17" s="141"/>
    </row>
    <row r="18" spans="2:8" s="142" customFormat="1" x14ac:dyDescent="0.2">
      <c r="B18" s="91" t="s">
        <v>130</v>
      </c>
      <c r="C18" s="167">
        <f>1000*'capacitati retea'!H6/4.6/12</f>
        <v>2810.688405797102</v>
      </c>
      <c r="D18" s="168">
        <f>1000/4.6/12/SUM('capacitati retea'!C4:C5)</f>
        <v>4.5289855072463769</v>
      </c>
      <c r="E18" s="168">
        <f>1000/4.6/12/SUM('capacitati retea'!C9:C10)*'capacitati retea'!H4/'capacitati retea'!H10</f>
        <v>6.3734194525474424</v>
      </c>
      <c r="F18" s="196">
        <f>(C18-(D18*'capacitati retea'!H3*SUM('capacitati retea'!C4:C5)+'calcul tarife'!E18*'capacitati retea'!H10*SUM('capacitati retea'!C9:C10)))/'capacitati retea'!C12/4</f>
        <v>4.412266992987109E-3</v>
      </c>
      <c r="G18" s="140"/>
      <c r="H18" s="93" t="s">
        <v>114</v>
      </c>
    </row>
    <row r="19" spans="2:8" x14ac:dyDescent="0.2">
      <c r="B19" s="91" t="s">
        <v>99</v>
      </c>
      <c r="C19" s="144">
        <f>C36*0.26/12</f>
        <v>9938.2404486894302</v>
      </c>
      <c r="D19" s="144">
        <f>(D17+D18)*0.26/(1-0.26)</f>
        <v>22.2885928262587</v>
      </c>
      <c r="E19" s="144">
        <f>(E17+E18)*0.26/(1-0.26)</f>
        <v>16.831841337522338</v>
      </c>
      <c r="F19" s="144">
        <f>(F17+F18)*0.26/(1-0.26)</f>
        <v>0.62294227410836911</v>
      </c>
      <c r="G19" s="81"/>
      <c r="H19" s="93" t="s">
        <v>114</v>
      </c>
    </row>
    <row r="20" spans="2:8" x14ac:dyDescent="0.2">
      <c r="B20" s="112" t="s">
        <v>64</v>
      </c>
      <c r="C20" s="114">
        <f>C17+C19+C18</f>
        <v>65743.643863695863</v>
      </c>
      <c r="D20" s="215">
        <f>D17+D19+D18</f>
        <v>85.725357024071911</v>
      </c>
      <c r="E20" s="145">
        <f>E17+E19+E18</f>
        <v>64.737851298162823</v>
      </c>
      <c r="F20" s="145">
        <f>F17+F19+F18</f>
        <v>2.395931823493727</v>
      </c>
      <c r="G20" s="95"/>
      <c r="H20" s="93"/>
    </row>
    <row r="21" spans="2:8" ht="9.6" customHeight="1" x14ac:dyDescent="0.2">
      <c r="D21" s="165"/>
      <c r="E21" s="215">
        <f>E20*'capacitati retea'!H10/SUM('capacitati retea'!C7:C8)</f>
        <v>1.0378908610334725</v>
      </c>
    </row>
    <row r="22" spans="2:8" s="185" customFormat="1" x14ac:dyDescent="0.2">
      <c r="B22" s="182"/>
      <c r="C22" s="183"/>
      <c r="D22" s="183"/>
      <c r="E22" s="182"/>
      <c r="F22" s="182"/>
      <c r="G22" s="184"/>
    </row>
    <row r="23" spans="2:8" x14ac:dyDescent="0.2">
      <c r="E23" s="71"/>
    </row>
    <row r="24" spans="2:8" x14ac:dyDescent="0.2">
      <c r="B24" s="186" t="s">
        <v>93</v>
      </c>
      <c r="C24" s="71" t="s">
        <v>123</v>
      </c>
      <c r="D24" s="225"/>
    </row>
    <row r="25" spans="2:8" x14ac:dyDescent="0.2">
      <c r="B25" s="72" t="s">
        <v>46</v>
      </c>
      <c r="C25" s="71">
        <f>CAPEX!G10</f>
        <v>587023.53663225111</v>
      </c>
      <c r="D25" s="225"/>
      <c r="E25" s="166"/>
      <c r="F25" s="166"/>
    </row>
    <row r="26" spans="2:8" x14ac:dyDescent="0.2">
      <c r="B26" s="72" t="s">
        <v>48</v>
      </c>
      <c r="C26" s="71">
        <f>OPEX!J22</f>
        <v>48913.043478260872</v>
      </c>
      <c r="D26" s="225"/>
    </row>
    <row r="27" spans="2:8" x14ac:dyDescent="0.2">
      <c r="B27" s="72" t="s">
        <v>94</v>
      </c>
      <c r="C27" s="161">
        <f>C19*12+C18*12</f>
        <v>152987.14625383838</v>
      </c>
      <c r="D27" s="225"/>
    </row>
    <row r="28" spans="2:8" x14ac:dyDescent="0.2">
      <c r="B28" s="72" t="s">
        <v>104</v>
      </c>
      <c r="C28" s="160">
        <f>SUM(C25:C27)</f>
        <v>788923.72636435041</v>
      </c>
      <c r="D28" s="226"/>
    </row>
    <row r="30" spans="2:8" x14ac:dyDescent="0.2">
      <c r="B30" s="200"/>
      <c r="C30" s="201"/>
    </row>
    <row r="31" spans="2:8" x14ac:dyDescent="0.2">
      <c r="B31" s="164" t="s">
        <v>8</v>
      </c>
    </row>
    <row r="32" spans="2:8" x14ac:dyDescent="0.2">
      <c r="C32" s="71" t="s">
        <v>9</v>
      </c>
    </row>
    <row r="33" spans="2:4" ht="22.5" x14ac:dyDescent="0.2">
      <c r="B33" s="162" t="s">
        <v>49</v>
      </c>
      <c r="C33" s="71">
        <f>D20*'capacitati retea'!C3*'capacitati retea'!C4*12</f>
        <v>247701.7046139153</v>
      </c>
    </row>
    <row r="34" spans="2:4" ht="33.75" x14ac:dyDescent="0.2">
      <c r="B34" s="162" t="s">
        <v>92</v>
      </c>
      <c r="C34" s="71">
        <f>E20*'capacitati retea'!H10*12*'capacitati retea'!C9</f>
        <v>41411.84535523555</v>
      </c>
    </row>
    <row r="35" spans="2:4" x14ac:dyDescent="0.2">
      <c r="B35" s="163" t="s">
        <v>52</v>
      </c>
      <c r="C35" s="71">
        <f>F20*'capacitati retea'!C12*'capacitati retea'!C13*12</f>
        <v>169574.47073959204</v>
      </c>
    </row>
    <row r="36" spans="2:4" x14ac:dyDescent="0.2">
      <c r="B36" s="163"/>
      <c r="C36" s="160">
        <f>SUM(C33:C35)</f>
        <v>458688.0207087429</v>
      </c>
    </row>
    <row r="38" spans="2:4" x14ac:dyDescent="0.2">
      <c r="B38" s="164" t="s">
        <v>119</v>
      </c>
      <c r="C38" s="71" t="s">
        <v>9</v>
      </c>
    </row>
    <row r="39" spans="2:4" ht="22.5" x14ac:dyDescent="0.2">
      <c r="B39" s="162" t="s">
        <v>49</v>
      </c>
      <c r="C39" s="71">
        <f>(D17+D18)*'capacitati retea'!C3*'capacitati retea'!C5*12</f>
        <v>183299.26141429733</v>
      </c>
    </row>
    <row r="40" spans="2:4" ht="33.75" x14ac:dyDescent="0.2">
      <c r="B40" s="162" t="s">
        <v>92</v>
      </c>
      <c r="C40" s="71">
        <f>(E17+E18)*'capacitati retea'!H10*'capacitati retea'!C10*12</f>
        <v>21451.335894012016</v>
      </c>
    </row>
    <row r="41" spans="2:4" x14ac:dyDescent="0.2">
      <c r="B41" s="163" t="s">
        <v>52</v>
      </c>
      <c r="C41" s="71">
        <f>(F17+F18)*'capacitati retea'!C12*'capacitati retea'!C15*12</f>
        <v>125485.1083472981</v>
      </c>
    </row>
    <row r="42" spans="2:4" x14ac:dyDescent="0.2">
      <c r="C42" s="160">
        <f>SUM(C39:C41)</f>
        <v>330235.70565560745</v>
      </c>
      <c r="D42" s="160"/>
    </row>
    <row r="44" spans="2:4" x14ac:dyDescent="0.2">
      <c r="B44" s="182"/>
      <c r="C44" s="18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J53"/>
  <sheetViews>
    <sheetView zoomScale="120" zoomScaleNormal="120" workbookViewId="0">
      <selection activeCell="B56" sqref="B56"/>
    </sheetView>
  </sheetViews>
  <sheetFormatPr defaultColWidth="9.140625" defaultRowHeight="11.25" x14ac:dyDescent="0.2"/>
  <cols>
    <col min="1" max="1" width="2.7109375" style="74" customWidth="1"/>
    <col min="2" max="2" width="64" style="72" customWidth="1"/>
    <col min="3" max="3" width="16.5703125" style="71" bestFit="1" customWidth="1"/>
    <col min="4" max="5" width="16.7109375" style="71" customWidth="1"/>
    <col min="6" max="6" width="17.85546875" style="72" customWidth="1"/>
    <col min="7" max="7" width="17.5703125" style="72" customWidth="1"/>
    <col min="8" max="8" width="12.42578125" style="72" bestFit="1" customWidth="1"/>
    <col min="9" max="9" width="12.42578125" style="73" customWidth="1"/>
    <col min="10" max="10" width="50.7109375" style="74" customWidth="1"/>
    <col min="11" max="16384" width="9.140625" style="74"/>
  </cols>
  <sheetData>
    <row r="1" spans="2:10" x14ac:dyDescent="0.2">
      <c r="B1" s="75"/>
      <c r="D1" s="247"/>
      <c r="E1" s="247"/>
      <c r="F1" s="248"/>
      <c r="G1" s="193"/>
      <c r="H1" s="169"/>
      <c r="I1" s="76"/>
    </row>
    <row r="2" spans="2:10" ht="68.25" thickBot="1" x14ac:dyDescent="0.25">
      <c r="B2" s="77" t="s">
        <v>43</v>
      </c>
      <c r="C2" s="78"/>
      <c r="D2" s="79" t="s">
        <v>49</v>
      </c>
      <c r="E2" s="79" t="s">
        <v>50</v>
      </c>
      <c r="F2" s="79" t="s">
        <v>51</v>
      </c>
      <c r="G2" s="79" t="s">
        <v>92</v>
      </c>
      <c r="H2" s="80" t="s">
        <v>52</v>
      </c>
      <c r="I2" s="81"/>
    </row>
    <row r="3" spans="2:10" ht="12" thickBot="1" x14ac:dyDescent="0.25">
      <c r="B3" s="82" t="s">
        <v>44</v>
      </c>
      <c r="C3" s="83"/>
      <c r="D3" s="84"/>
      <c r="E3" s="84"/>
      <c r="F3" s="84"/>
      <c r="G3" s="84"/>
      <c r="H3" s="84"/>
      <c r="I3" s="81"/>
    </row>
    <row r="4" spans="2:10" x14ac:dyDescent="0.2">
      <c r="B4" s="82" t="s">
        <v>45</v>
      </c>
      <c r="C4" s="85" t="s">
        <v>96</v>
      </c>
      <c r="D4" s="86" t="s">
        <v>53</v>
      </c>
      <c r="E4" s="86"/>
      <c r="F4" s="86"/>
      <c r="G4" s="86" t="s">
        <v>95</v>
      </c>
      <c r="H4" s="84" t="s">
        <v>90</v>
      </c>
      <c r="I4" s="81"/>
    </row>
    <row r="5" spans="2:10" ht="12" thickBot="1" x14ac:dyDescent="0.25">
      <c r="B5" s="111" t="s">
        <v>46</v>
      </c>
      <c r="C5" s="87"/>
      <c r="D5" s="88"/>
      <c r="E5" s="88"/>
      <c r="F5" s="89"/>
      <c r="G5" s="89"/>
      <c r="H5" s="89"/>
      <c r="I5" s="81"/>
      <c r="J5" s="90" t="s">
        <v>47</v>
      </c>
    </row>
    <row r="6" spans="2:10" x14ac:dyDescent="0.2">
      <c r="B6" s="91" t="s">
        <v>57</v>
      </c>
      <c r="C6" s="154">
        <f>'remaining asset life'!F9/12</f>
        <v>3354.7953586704657</v>
      </c>
      <c r="D6" s="157">
        <f>C6/'capacitati retea'!$H$3/SUM('capacitati retea'!$C$4:$C$5)*'matrice alocare'!$H$10</f>
        <v>5.4304482662061808</v>
      </c>
      <c r="E6" s="98"/>
      <c r="F6" s="99"/>
      <c r="G6" s="157">
        <f>C6*'matrice alocare'!$H$13/'capacitati retea'!$H$10/SUM('capacitati retea'!$C$9:$C$10)</f>
        <v>8.1613682255425513</v>
      </c>
      <c r="H6" s="100">
        <v>0</v>
      </c>
      <c r="J6" s="92" t="s">
        <v>106</v>
      </c>
    </row>
    <row r="7" spans="2:10" x14ac:dyDescent="0.2">
      <c r="B7" s="91" t="s">
        <v>58</v>
      </c>
      <c r="C7" s="129">
        <f>'remaining asset life'!F10/12</f>
        <v>12686.195142307413</v>
      </c>
      <c r="D7" s="97">
        <v>0</v>
      </c>
      <c r="E7" s="98"/>
      <c r="F7" s="99"/>
      <c r="G7" s="99"/>
      <c r="H7" s="146">
        <f>C7/'capacitati retea'!$C$12/SUM('capacitati retea'!$C$13,'capacitati retea'!$C$15)</f>
        <v>1.0754658479406081</v>
      </c>
      <c r="J7" s="93" t="s">
        <v>91</v>
      </c>
    </row>
    <row r="8" spans="2:10" x14ac:dyDescent="0.2">
      <c r="B8" s="91" t="s">
        <v>59</v>
      </c>
      <c r="C8" s="134">
        <f>'remaining asset life'!F11/12</f>
        <v>4284.3880681426044</v>
      </c>
      <c r="D8" s="135">
        <f>C8/'capacitati retea'!$C$3/SUM('capacitati retea'!$C$4:$C$5)*'matrice alocare'!$F$19</f>
        <v>6.893937142415667</v>
      </c>
      <c r="E8" s="98"/>
      <c r="F8" s="99"/>
      <c r="G8" s="135">
        <f>C8*'matrice alocare'!$F$20/'capacitati retea'!$H$10/SUM('capacitati retea'!$C$9:$C$10)</f>
        <v>4.1157878965445356</v>
      </c>
      <c r="H8" s="135">
        <f>C8*'matrice alocare'!F21/'capacitati retea'!C12/SUM('capacitati retea'!C13,'capacitati retea'!C15)</f>
        <v>5.0137724672113936E-2</v>
      </c>
      <c r="J8" s="93" t="s">
        <v>107</v>
      </c>
    </row>
    <row r="9" spans="2:10" x14ac:dyDescent="0.2">
      <c r="B9" s="91" t="s">
        <v>60</v>
      </c>
      <c r="C9" s="134">
        <f>'remaining asset life'!F12/12</f>
        <v>25372.390284614827</v>
      </c>
      <c r="D9" s="135">
        <f>C9/'capacitati retea'!$C$3/SUM('capacitati retea'!$C$4:$C$5)*'matrice alocare'!$F$19</f>
        <v>40.82628860713897</v>
      </c>
      <c r="E9" s="98"/>
      <c r="F9" s="98"/>
      <c r="G9" s="135">
        <f>C9*'matrice alocare'!$F$20/'capacitati retea'!$H$10/SUM('capacitati retea'!$C$9:$C$10)</f>
        <v>24.373930460760974</v>
      </c>
      <c r="H9" s="135">
        <f>C9*'matrice alocare'!$F$21/'capacitati retea'!$C$12/SUM('capacitati retea'!$C$13,'capacitati retea'!$C$15)</f>
        <v>0.29691846259737431</v>
      </c>
      <c r="J9" s="93" t="s">
        <v>107</v>
      </c>
    </row>
    <row r="10" spans="2:10" x14ac:dyDescent="0.2">
      <c r="B10" s="112" t="s">
        <v>61</v>
      </c>
      <c r="C10" s="113">
        <f>SUM(C6:C9)</f>
        <v>45697.76885373531</v>
      </c>
      <c r="D10" s="138">
        <f t="shared" ref="D10:H10" si="0">SUM(D6:D9)</f>
        <v>53.150674015760814</v>
      </c>
      <c r="E10" s="138"/>
      <c r="F10" s="138"/>
      <c r="G10" s="138">
        <f t="shared" si="0"/>
        <v>36.651086582848059</v>
      </c>
      <c r="H10" s="138">
        <f t="shared" si="0"/>
        <v>1.4225220352100965</v>
      </c>
      <c r="J10" s="93"/>
    </row>
    <row r="11" spans="2:10" ht="12" thickBot="1" x14ac:dyDescent="0.25">
      <c r="B11" s="111" t="s">
        <v>48</v>
      </c>
      <c r="C11" s="101"/>
      <c r="D11" s="101"/>
      <c r="E11" s="98"/>
      <c r="F11" s="102"/>
      <c r="G11" s="102"/>
      <c r="H11" s="102"/>
      <c r="J11" s="93"/>
    </row>
    <row r="12" spans="2:10" x14ac:dyDescent="0.2">
      <c r="B12" s="91" t="s">
        <v>57</v>
      </c>
      <c r="C12" s="155">
        <f>$C$16*'matrice alocare'!D2</f>
        <v>762.06524420418327</v>
      </c>
      <c r="D12" s="157">
        <f>C12/'capacitati retea'!$H$3/SUM('capacitati retea'!$C$4:$C$5)*'matrice alocare'!$H$10</f>
        <v>1.2335643285749218</v>
      </c>
      <c r="E12" s="98"/>
      <c r="F12" s="102"/>
      <c r="G12" s="157">
        <f>C12*'matrice alocare'!$H$13/'capacitati retea'!$H$10/SUM('capacitati retea'!$C$9:$C$10)</f>
        <v>1.8539119096382639</v>
      </c>
      <c r="H12" s="100">
        <v>0</v>
      </c>
      <c r="J12" s="92" t="s">
        <v>106</v>
      </c>
    </row>
    <row r="13" spans="2:10" x14ac:dyDescent="0.2">
      <c r="B13" s="91" t="s">
        <v>58</v>
      </c>
      <c r="C13" s="130">
        <f>$C$16*'matrice alocare'!D3</f>
        <v>2881.7580107109184</v>
      </c>
      <c r="D13" s="120">
        <v>0</v>
      </c>
      <c r="E13" s="98"/>
      <c r="F13" s="102"/>
      <c r="G13" s="102"/>
      <c r="H13" s="146">
        <f>C13/'capacitati retea'!$C$12/SUM('capacitati retea'!$C$13,'capacitati retea'!$C$15)</f>
        <v>0.24429959399041357</v>
      </c>
      <c r="J13" s="93" t="s">
        <v>91</v>
      </c>
    </row>
    <row r="14" spans="2:10" x14ac:dyDescent="0.2">
      <c r="B14" s="91" t="s">
        <v>59</v>
      </c>
      <c r="C14" s="137">
        <f>$C$16*'matrice alocare'!D4</f>
        <v>432.26370160663777</v>
      </c>
      <c r="D14" s="135">
        <f>C14/'capacitati retea'!$C$3/SUM('capacitati retea'!$C$4:$C$5)*'matrice alocare'!$F$19</f>
        <v>0.69554828844343952</v>
      </c>
      <c r="E14" s="98"/>
      <c r="F14" s="102"/>
      <c r="G14" s="135">
        <f>C14*'matrice alocare'!$F$20/'capacitati retea'!$H$10/SUM('capacitati retea'!$C$9:$C$10)</f>
        <v>0.41525316635461273</v>
      </c>
      <c r="H14" s="135">
        <f>C14*'matrice alocare'!$F$21/'capacitati retea'!$C$12/SUM('capacitati retea'!$C$13,'capacitati retea'!$C$15)</f>
        <v>5.0585330068613783E-3</v>
      </c>
      <c r="J14" s="93" t="s">
        <v>107</v>
      </c>
    </row>
    <row r="15" spans="2:10" x14ac:dyDescent="0.2">
      <c r="B15" s="91" t="s">
        <v>60</v>
      </c>
      <c r="C15" s="137">
        <f>$C$16*'matrice alocare'!D5</f>
        <v>0</v>
      </c>
      <c r="D15" s="135">
        <f>C15/'capacitati retea'!$C$3/SUM('capacitati retea'!$C$4:$C$5)*'matrice alocare'!$F$19</f>
        <v>0</v>
      </c>
      <c r="E15" s="98"/>
      <c r="F15" s="98"/>
      <c r="G15" s="135">
        <f>C15*'matrice alocare'!$F$20/'capacitati retea'!$H$10/SUM('capacitati retea'!$C$9:$C$10)</f>
        <v>0</v>
      </c>
      <c r="H15" s="135">
        <f>C15*'matrice alocare'!$F$21/'capacitati retea'!$C$12/SUM('capacitati retea'!$C$13,'capacitati retea'!$C$15)</f>
        <v>0</v>
      </c>
      <c r="I15" s="81"/>
      <c r="J15" s="93" t="s">
        <v>107</v>
      </c>
    </row>
    <row r="16" spans="2:10" x14ac:dyDescent="0.2">
      <c r="B16" s="112" t="s">
        <v>62</v>
      </c>
      <c r="C16" s="113">
        <f>OPEX!J22/12</f>
        <v>4076.0869565217395</v>
      </c>
      <c r="D16" s="138">
        <f>SUM(D12:D15)</f>
        <v>1.9291126170183612</v>
      </c>
      <c r="E16" s="138"/>
      <c r="F16" s="138"/>
      <c r="G16" s="138">
        <f t="shared" ref="G16:H16" si="1">SUM(G12:G15)</f>
        <v>2.2691650759928765</v>
      </c>
      <c r="H16" s="138">
        <f t="shared" si="1"/>
        <v>0.24935812699727494</v>
      </c>
      <c r="I16" s="140"/>
      <c r="J16" s="93"/>
    </row>
    <row r="17" spans="2:10" s="142" customFormat="1" x14ac:dyDescent="0.2">
      <c r="B17" s="139" t="s">
        <v>63</v>
      </c>
      <c r="C17" s="156">
        <f>C10+C16</f>
        <v>49773.855810257046</v>
      </c>
      <c r="D17" s="138">
        <f t="shared" ref="D17:H17" si="2">D10+D16</f>
        <v>55.079786632779175</v>
      </c>
      <c r="E17" s="138"/>
      <c r="F17" s="138"/>
      <c r="G17" s="138">
        <f t="shared" si="2"/>
        <v>38.920251658840932</v>
      </c>
      <c r="H17" s="138">
        <f t="shared" si="2"/>
        <v>1.6718801622073713</v>
      </c>
      <c r="I17" s="140"/>
      <c r="J17" s="141"/>
    </row>
    <row r="18" spans="2:10" s="142" customFormat="1" x14ac:dyDescent="0.2">
      <c r="B18" s="139" t="s">
        <v>100</v>
      </c>
      <c r="C18" s="167">
        <f>1000*'capacitati retea'!H6/4.6/12</f>
        <v>2810.688405797102</v>
      </c>
      <c r="D18" s="168">
        <f>1000/4.6/12/SUM('capacitati retea'!C4:C5)</f>
        <v>4.5289855072463769</v>
      </c>
      <c r="E18" s="168"/>
      <c r="F18" s="168"/>
      <c r="G18" s="168">
        <f>1000/4.6/12/SUM('capacitati retea'!C9:C10)*'capacitati retea'!H4/'capacitati retea'!H10</f>
        <v>6.3734194525474424</v>
      </c>
      <c r="H18" s="196">
        <f>(C18-(D18*'capacitati retea'!H3*SUM('capacitati retea'!C4:C5)+'calcul tarife (v2)'!G18*'capacitati retea'!H10*SUM('capacitati retea'!C9:C10)))/'capacitati retea'!C12/4</f>
        <v>4.412266992987109E-3</v>
      </c>
      <c r="I18" s="140"/>
      <c r="J18" s="93" t="s">
        <v>114</v>
      </c>
    </row>
    <row r="19" spans="2:10" x14ac:dyDescent="0.2">
      <c r="B19" s="139" t="s">
        <v>99</v>
      </c>
      <c r="C19" s="144">
        <f>(C17+C18)*0.26/(1-0.26)</f>
        <v>18475.650670505514</v>
      </c>
      <c r="D19" s="144">
        <f>(D17+D18)*0.26/(1-0.26)</f>
        <v>20.943622643792761</v>
      </c>
      <c r="E19" s="144"/>
      <c r="F19" s="144"/>
      <c r="G19" s="144">
        <f>(G17+G18)*0.26/(1-0.26)</f>
        <v>15.913992552649971</v>
      </c>
      <c r="H19" s="144">
        <f>(H17+H18)*0.26/(1-0.26)</f>
        <v>0.58896761025958544</v>
      </c>
      <c r="I19" s="81"/>
      <c r="J19" s="93" t="s">
        <v>114</v>
      </c>
    </row>
    <row r="20" spans="2:10" x14ac:dyDescent="0.2">
      <c r="B20" s="94" t="s">
        <v>64</v>
      </c>
      <c r="C20" s="114">
        <f>C17+C19+C18</f>
        <v>71060.194886559664</v>
      </c>
      <c r="D20" s="215">
        <f>D17+D19+D18</f>
        <v>80.552394783818315</v>
      </c>
      <c r="E20" s="145"/>
      <c r="F20" s="145"/>
      <c r="G20" s="145">
        <f>G17+G19+G18</f>
        <v>61.20766366403835</v>
      </c>
      <c r="H20" s="215">
        <f>H17+H19+H18</f>
        <v>2.2652600394599438</v>
      </c>
      <c r="I20" s="95"/>
      <c r="J20" s="93"/>
    </row>
    <row r="21" spans="2:10" x14ac:dyDescent="0.2">
      <c r="D21" s="96"/>
      <c r="E21" s="96"/>
      <c r="G21" s="216">
        <f>G20*'capacitati retea'!H10/SUM('capacitati retea'!C7:C8)</f>
        <v>0.98129414968579221</v>
      </c>
    </row>
    <row r="22" spans="2:10" s="185" customFormat="1" x14ac:dyDescent="0.2">
      <c r="B22" s="182" t="s">
        <v>103</v>
      </c>
      <c r="C22" s="183"/>
      <c r="D22" s="183">
        <v>80</v>
      </c>
      <c r="E22" s="189">
        <v>2</v>
      </c>
      <c r="F22" s="182">
        <v>4</v>
      </c>
      <c r="G22" s="182"/>
      <c r="H22" s="182" t="s">
        <v>98</v>
      </c>
      <c r="I22" s="184"/>
    </row>
    <row r="23" spans="2:10" x14ac:dyDescent="0.2">
      <c r="F23" s="165"/>
    </row>
    <row r="24" spans="2:10" x14ac:dyDescent="0.2">
      <c r="G24" s="71"/>
    </row>
    <row r="25" spans="2:10" x14ac:dyDescent="0.2">
      <c r="B25" s="186" t="s">
        <v>93</v>
      </c>
      <c r="C25" s="71" t="s">
        <v>123</v>
      </c>
      <c r="E25" s="71" t="s">
        <v>121</v>
      </c>
      <c r="F25" s="72" t="s">
        <v>122</v>
      </c>
    </row>
    <row r="26" spans="2:10" x14ac:dyDescent="0.2">
      <c r="B26" s="72" t="s">
        <v>46</v>
      </c>
      <c r="C26" s="71">
        <f>'remaining asset life'!F13</f>
        <v>548373.22624482377</v>
      </c>
      <c r="D26" s="71">
        <f>C26/C29</f>
        <v>0.64308532965167242</v>
      </c>
      <c r="E26" s="71" t="e">
        <f>-SUM(#REF!)-#REF!</f>
        <v>#REF!</v>
      </c>
      <c r="F26" s="166" t="e">
        <f>C26-E26</f>
        <v>#REF!</v>
      </c>
      <c r="G26" s="166"/>
      <c r="H26" s="166"/>
    </row>
    <row r="27" spans="2:10" x14ac:dyDescent="0.2">
      <c r="B27" s="72" t="s">
        <v>48</v>
      </c>
      <c r="C27" s="71">
        <f>OPEX!J22</f>
        <v>48913.043478260872</v>
      </c>
      <c r="D27" s="71">
        <f>C27/C29</f>
        <v>5.7361043873138756E-2</v>
      </c>
      <c r="E27" s="71" t="e">
        <f>-SUM(#REF!)</f>
        <v>#REF!</v>
      </c>
      <c r="F27" s="166" t="e">
        <f t="shared" ref="F27:F28" si="3">C27-E27</f>
        <v>#REF!</v>
      </c>
    </row>
    <row r="28" spans="2:10" x14ac:dyDescent="0.2">
      <c r="B28" s="72" t="s">
        <v>94</v>
      </c>
      <c r="C28" s="161">
        <f>C19*12+C18*12</f>
        <v>255436.06891563139</v>
      </c>
      <c r="D28" s="71">
        <f>C28/C29</f>
        <v>0.29955362647518879</v>
      </c>
      <c r="E28" s="161" t="e">
        <f>-#REF!</f>
        <v>#REF!</v>
      </c>
      <c r="F28" s="217" t="e">
        <f t="shared" si="3"/>
        <v>#REF!</v>
      </c>
    </row>
    <row r="29" spans="2:10" x14ac:dyDescent="0.2">
      <c r="B29" s="182" t="s">
        <v>104</v>
      </c>
      <c r="C29" s="160">
        <f>SUM(C26:C28)</f>
        <v>852722.33863871603</v>
      </c>
      <c r="E29" s="160" t="e">
        <f>SUM(E26:E28)</f>
        <v>#REF!</v>
      </c>
      <c r="F29" s="160" t="e">
        <f>SUM(F26:F28)</f>
        <v>#REF!</v>
      </c>
    </row>
    <row r="31" spans="2:10" ht="22.5" x14ac:dyDescent="0.2">
      <c r="B31" s="186" t="s">
        <v>125</v>
      </c>
      <c r="C31" s="71" t="s">
        <v>123</v>
      </c>
      <c r="E31" s="192" t="s">
        <v>111</v>
      </c>
      <c r="F31" s="207" t="s">
        <v>112</v>
      </c>
    </row>
    <row r="32" spans="2:10" x14ac:dyDescent="0.2">
      <c r="B32" s="162" t="s">
        <v>49</v>
      </c>
      <c r="C32" s="71">
        <f>D20*'capacitati retea'!C3*SUM('capacitati retea'!C4:C5)*12</f>
        <v>465509.06735989469</v>
      </c>
      <c r="E32" s="165">
        <v>462316.80000000005</v>
      </c>
      <c r="F32" s="208">
        <f>C32-E32</f>
        <v>3192.2673598946421</v>
      </c>
    </row>
    <row r="33" spans="2:7" x14ac:dyDescent="0.2">
      <c r="B33" s="162" t="s">
        <v>92</v>
      </c>
      <c r="C33" s="71">
        <f>G21*SUM('capacitati retea'!C7:C8)*SUM('capacitati retea'!C9:C10)*12</f>
        <v>66561.182173187277</v>
      </c>
      <c r="E33" s="165">
        <v>236762.40000000002</v>
      </c>
      <c r="F33" s="208">
        <f>C33-E33</f>
        <v>-170201.21782681276</v>
      </c>
    </row>
    <row r="34" spans="2:7" x14ac:dyDescent="0.2">
      <c r="B34" s="163" t="s">
        <v>52</v>
      </c>
      <c r="C34" s="202">
        <f>H20*'capacitati retea'!C12*SUM('capacitati retea'!C13,'capacitati retea'!C15)*12</f>
        <v>320652.08910563396</v>
      </c>
      <c r="E34" s="165">
        <v>150009.73200000002</v>
      </c>
      <c r="F34" s="208">
        <f>C34-E34</f>
        <v>170642.35710563394</v>
      </c>
    </row>
    <row r="35" spans="2:7" x14ac:dyDescent="0.2">
      <c r="C35" s="160">
        <f>SUM(C32:C34)</f>
        <v>852722.33863871591</v>
      </c>
      <c r="E35" s="160">
        <f t="shared" ref="E35:F35" si="4">SUM(E32:E34)</f>
        <v>849088.93200000003</v>
      </c>
      <c r="F35" s="209">
        <f t="shared" si="4"/>
        <v>3633.4066387158236</v>
      </c>
      <c r="G35" s="199"/>
    </row>
    <row r="36" spans="2:7" x14ac:dyDescent="0.2">
      <c r="F36" s="208"/>
    </row>
    <row r="37" spans="2:7" x14ac:dyDescent="0.2">
      <c r="B37" s="200" t="s">
        <v>116</v>
      </c>
      <c r="C37" s="201">
        <f>C35-C29</f>
        <v>0</v>
      </c>
      <c r="F37" s="208"/>
    </row>
    <row r="38" spans="2:7" x14ac:dyDescent="0.2">
      <c r="B38" s="200"/>
      <c r="C38" s="201"/>
      <c r="F38" s="208"/>
    </row>
    <row r="39" spans="2:7" x14ac:dyDescent="0.2">
      <c r="B39" s="186" t="s">
        <v>126</v>
      </c>
    </row>
    <row r="40" spans="2:7" x14ac:dyDescent="0.2">
      <c r="C40" s="71" t="s">
        <v>123</v>
      </c>
    </row>
    <row r="41" spans="2:7" x14ac:dyDescent="0.2">
      <c r="B41" s="162" t="s">
        <v>49</v>
      </c>
      <c r="C41" s="71">
        <f>D20*'capacitati retea'!C3*'capacitati retea'!C4*12</f>
        <v>232754.53367994734</v>
      </c>
    </row>
    <row r="42" spans="2:7" x14ac:dyDescent="0.2">
      <c r="B42" s="162" t="s">
        <v>92</v>
      </c>
      <c r="C42" s="71">
        <f>G21*SUM('capacitati retea'!C7:C8)*'capacitati retea'!C9*12</f>
        <v>39153.636572463103</v>
      </c>
    </row>
    <row r="43" spans="2:7" x14ac:dyDescent="0.2">
      <c r="B43" s="163" t="s">
        <v>52</v>
      </c>
      <c r="C43" s="161">
        <f>H20*'capacitati retea'!C12*'capacitati retea'!C13*12</f>
        <v>160326.04455281698</v>
      </c>
    </row>
    <row r="44" spans="2:7" x14ac:dyDescent="0.2">
      <c r="B44" s="163"/>
      <c r="C44" s="160">
        <f>SUM(C41:C43)</f>
        <v>432234.21480522747</v>
      </c>
      <c r="F44" s="166"/>
    </row>
    <row r="46" spans="2:7" x14ac:dyDescent="0.2">
      <c r="B46" s="164" t="s">
        <v>119</v>
      </c>
      <c r="E46" s="71" t="s">
        <v>127</v>
      </c>
    </row>
    <row r="47" spans="2:7" x14ac:dyDescent="0.2">
      <c r="B47" s="162" t="s">
        <v>49</v>
      </c>
      <c r="C47" s="71">
        <f>(D17+D18)*'capacitati retea'!C3*'capacitati retea'!C5*12</f>
        <v>172238.35492316104</v>
      </c>
      <c r="E47" s="71">
        <f>D19*'capacitati retea'!C3*'capacitati retea'!C5*12</f>
        <v>60516.178756786307</v>
      </c>
    </row>
    <row r="48" spans="2:7" x14ac:dyDescent="0.2">
      <c r="B48" s="162" t="s">
        <v>92</v>
      </c>
      <c r="C48" s="71">
        <f>(G17+G18)*'capacitati retea'!H10*'capacitati retea'!C10*12</f>
        <v>20281.583744535888</v>
      </c>
      <c r="E48" s="71">
        <f>G19*'capacitati retea'!C10*'capacitati retea'!H10*12</f>
        <v>7125.9618561882853</v>
      </c>
    </row>
    <row r="49" spans="2:5" x14ac:dyDescent="0.2">
      <c r="B49" s="163" t="s">
        <v>52</v>
      </c>
      <c r="C49" s="161">
        <f>(H17+H18)*'capacitati retea'!C12*'capacitati retea'!C15*12</f>
        <v>118641.27296908457</v>
      </c>
      <c r="D49" s="161"/>
      <c r="E49" s="71">
        <f>H19*'capacitati retea'!C12*'capacitati retea'!C15*12</f>
        <v>41684.771583732421</v>
      </c>
    </row>
    <row r="50" spans="2:5" x14ac:dyDescent="0.2">
      <c r="C50" s="160">
        <f>SUM(C47:C49)</f>
        <v>311161.21163678152</v>
      </c>
      <c r="E50" s="160">
        <f>SUM(E47:E49)</f>
        <v>109326.91219670701</v>
      </c>
    </row>
    <row r="52" spans="2:5" x14ac:dyDescent="0.2">
      <c r="B52" s="182" t="s">
        <v>97</v>
      </c>
      <c r="C52" s="189">
        <f>C44*0.26+1000*'capacitati retea'!H6/4.6</f>
        <v>146109.15671892438</v>
      </c>
    </row>
    <row r="53" spans="2:5" x14ac:dyDescent="0.2">
      <c r="B53" s="182" t="s">
        <v>113</v>
      </c>
      <c r="C53" s="183">
        <f>C28-C52</f>
        <v>109326.91219670701</v>
      </c>
    </row>
  </sheetData>
  <mergeCells count="1">
    <mergeCell ref="D1:F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6"/>
  <sheetViews>
    <sheetView workbookViewId="0">
      <selection activeCell="I16" sqref="I16"/>
    </sheetView>
  </sheetViews>
  <sheetFormatPr defaultRowHeight="15" x14ac:dyDescent="0.25"/>
  <cols>
    <col min="1" max="1" width="18.7109375" customWidth="1"/>
    <col min="2" max="2" width="11.28515625" bestFit="1" customWidth="1"/>
    <col min="3" max="3" width="11.140625" bestFit="1" customWidth="1"/>
    <col min="4" max="4" width="12.7109375" bestFit="1" customWidth="1"/>
    <col min="5" max="5" width="20.28515625" bestFit="1" customWidth="1"/>
    <col min="6" max="6" width="12.140625" bestFit="1" customWidth="1"/>
    <col min="7" max="8" width="10.140625" bestFit="1" customWidth="1"/>
    <col min="9" max="9" width="9.140625" bestFit="1" customWidth="1"/>
  </cols>
  <sheetData>
    <row r="1" spans="1:13" x14ac:dyDescent="0.25">
      <c r="A1" s="210" t="s">
        <v>117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x14ac:dyDescent="0.25">
      <c r="A2" s="249" t="s">
        <v>124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x14ac:dyDescent="0.2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4" spans="1:13" x14ac:dyDescent="0.2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x14ac:dyDescent="0.25">
      <c r="A6" s="14"/>
    </row>
    <row r="7" spans="1:13" x14ac:dyDescent="0.25">
      <c r="A7" s="16"/>
      <c r="C7" s="12"/>
    </row>
    <row r="8" spans="1:13" ht="45" x14ac:dyDescent="0.25">
      <c r="A8" s="16"/>
      <c r="B8" s="211" t="s">
        <v>89</v>
      </c>
      <c r="C8" s="211" t="s">
        <v>38</v>
      </c>
      <c r="D8" s="211" t="s">
        <v>120</v>
      </c>
      <c r="E8" s="212" t="s">
        <v>118</v>
      </c>
      <c r="F8" s="212" t="s">
        <v>39</v>
      </c>
      <c r="G8" s="195"/>
    </row>
    <row r="9" spans="1:13" x14ac:dyDescent="0.25">
      <c r="A9" s="60" t="s">
        <v>33</v>
      </c>
      <c r="B9" s="191">
        <f>CAPEX!E6</f>
        <v>528889.13043478259</v>
      </c>
      <c r="C9" s="64">
        <v>40</v>
      </c>
      <c r="D9" s="213">
        <f>B9/C9*3</f>
        <v>39666.684782608689</v>
      </c>
      <c r="E9" s="59">
        <f>B9-D9</f>
        <v>489222.44565217389</v>
      </c>
      <c r="F9" s="59">
        <f>-PMT(CAPEX!$K$2,37,E9)</f>
        <v>40257.544304045587</v>
      </c>
    </row>
    <row r="10" spans="1:13" x14ac:dyDescent="0.25">
      <c r="A10" s="60" t="s">
        <v>34</v>
      </c>
      <c r="B10" s="191">
        <f>CAPEX!E7</f>
        <v>2000000</v>
      </c>
      <c r="C10" s="64">
        <v>40</v>
      </c>
      <c r="D10" s="191">
        <f>B10/C10*3</f>
        <v>150000</v>
      </c>
      <c r="E10" s="59">
        <f t="shared" ref="E10:E12" si="0">B10-D10</f>
        <v>1850000</v>
      </c>
      <c r="F10" s="59">
        <f>-PMT(CAPEX!$K$2,37,E10)</f>
        <v>152234.34170768896</v>
      </c>
    </row>
    <row r="11" spans="1:13" ht="22.5" x14ac:dyDescent="0.25">
      <c r="A11" s="60" t="s">
        <v>35</v>
      </c>
      <c r="B11" s="191">
        <f>CAPEX!E8</f>
        <v>300000</v>
      </c>
      <c r="C11" s="64">
        <v>7</v>
      </c>
      <c r="D11" s="213">
        <f>B11/C11*3</f>
        <v>128571.42857142857</v>
      </c>
      <c r="E11" s="59">
        <f t="shared" si="0"/>
        <v>171428.57142857142</v>
      </c>
      <c r="F11" s="59">
        <f>-PMT(CAPEX!$K$2,4,E11)</f>
        <v>51412.656817711249</v>
      </c>
      <c r="G11" s="67"/>
      <c r="H11" s="67"/>
      <c r="I11" s="67"/>
    </row>
    <row r="12" spans="1:13" ht="22.5" x14ac:dyDescent="0.25">
      <c r="A12" s="62" t="s">
        <v>36</v>
      </c>
      <c r="B12" s="204">
        <f>CAPEX!E9</f>
        <v>4000000</v>
      </c>
      <c r="C12" s="64">
        <v>40</v>
      </c>
      <c r="D12" s="214">
        <f>B12/C12*3</f>
        <v>300000</v>
      </c>
      <c r="E12" s="206">
        <f t="shared" si="0"/>
        <v>3700000</v>
      </c>
      <c r="F12" s="206">
        <f>-PMT(CAPEX!$K$2,37,E12)</f>
        <v>304468.68341537792</v>
      </c>
    </row>
    <row r="13" spans="1:13" x14ac:dyDescent="0.25">
      <c r="A13" s="63" t="s">
        <v>37</v>
      </c>
      <c r="B13" s="205">
        <f>CAPEX!E10</f>
        <v>6828889.1304347832</v>
      </c>
      <c r="C13" s="12"/>
      <c r="D13" s="205">
        <f>SUM(D9:D12)</f>
        <v>618238.11335403728</v>
      </c>
      <c r="E13" s="205">
        <f>SUM(E9:E12)</f>
        <v>6210651.0170807447</v>
      </c>
      <c r="F13" s="205">
        <f>SUM(F9:F12)</f>
        <v>548373.22624482377</v>
      </c>
    </row>
    <row r="14" spans="1:13" x14ac:dyDescent="0.25">
      <c r="B14" s="1"/>
      <c r="C14" s="1"/>
      <c r="D14" s="1"/>
    </row>
    <row r="15" spans="1:13" x14ac:dyDescent="0.25">
      <c r="D15" s="67"/>
    </row>
    <row r="16" spans="1:13" x14ac:dyDescent="0.25">
      <c r="D16" s="67"/>
    </row>
  </sheetData>
  <mergeCells count="1">
    <mergeCell ref="A2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Q20"/>
  <sheetViews>
    <sheetView zoomScaleNormal="100" zoomScalePageLayoutView="125" workbookViewId="0">
      <selection activeCell="C6" sqref="C6"/>
    </sheetView>
  </sheetViews>
  <sheetFormatPr defaultColWidth="8.7109375" defaultRowHeight="15" outlineLevelCol="1" x14ac:dyDescent="0.25"/>
  <cols>
    <col min="1" max="1" width="29.5703125" style="13" bestFit="1" customWidth="1"/>
    <col min="2" max="2" width="14.140625" style="13" bestFit="1" customWidth="1"/>
    <col min="3" max="3" width="13.140625" style="13" bestFit="1" customWidth="1"/>
    <col min="4" max="5" width="13.140625" style="13" customWidth="1"/>
    <col min="6" max="6" width="13.85546875" style="13" bestFit="1" customWidth="1"/>
    <col min="7" max="7" width="13.7109375" style="13" bestFit="1" customWidth="1"/>
    <col min="8" max="8" width="13.42578125" style="13" customWidth="1" outlineLevel="1"/>
    <col min="9" max="12" width="8.7109375" style="13"/>
    <col min="13" max="13" width="9.28515625" style="13" bestFit="1" customWidth="1"/>
    <col min="14" max="16384" width="8.7109375" style="13"/>
  </cols>
  <sheetData>
    <row r="1" spans="1:17" ht="15.75" thickBot="1" x14ac:dyDescent="0.3"/>
    <row r="2" spans="1:17" ht="45" x14ac:dyDescent="0.25">
      <c r="A2" s="18" t="s">
        <v>86</v>
      </c>
      <c r="B2" s="19"/>
      <c r="C2" s="19"/>
      <c r="D2" s="219" t="s">
        <v>128</v>
      </c>
      <c r="E2" s="122" t="s">
        <v>89</v>
      </c>
      <c r="I2"/>
      <c r="J2" s="228" t="s">
        <v>32</v>
      </c>
      <c r="K2" s="229">
        <f>K3</f>
        <v>7.6999999999999999E-2</v>
      </c>
      <c r="L2" s="170"/>
      <c r="M2" s="171"/>
      <c r="N2" s="171"/>
      <c r="O2" s="171"/>
      <c r="P2" s="171"/>
      <c r="Q2" s="172"/>
    </row>
    <row r="3" spans="1:17" ht="30" x14ac:dyDescent="0.25">
      <c r="A3" s="14"/>
      <c r="B3" s="15" t="s">
        <v>18</v>
      </c>
      <c r="C3" s="15" t="s">
        <v>9</v>
      </c>
      <c r="D3" s="15" t="s">
        <v>9</v>
      </c>
      <c r="E3" s="15" t="s">
        <v>9</v>
      </c>
      <c r="F3" s="12" t="s">
        <v>38</v>
      </c>
      <c r="G3" s="124" t="s">
        <v>39</v>
      </c>
      <c r="H3" s="12" t="s">
        <v>40</v>
      </c>
      <c r="I3" s="12"/>
      <c r="J3" s="175"/>
      <c r="K3" s="176">
        <v>7.6999999999999999E-2</v>
      </c>
      <c r="L3" s="173" t="s">
        <v>101</v>
      </c>
      <c r="M3" s="173"/>
      <c r="N3" s="173"/>
      <c r="O3" s="173"/>
      <c r="P3" s="173"/>
      <c r="Q3" s="174"/>
    </row>
    <row r="4" spans="1:17" ht="15.75" thickBot="1" x14ac:dyDescent="0.3">
      <c r="A4" s="16"/>
      <c r="B4" s="12"/>
      <c r="C4" s="103">
        <v>4.5999999999999996</v>
      </c>
      <c r="D4" s="103"/>
      <c r="E4" s="103"/>
      <c r="F4" s="12"/>
      <c r="J4" s="177"/>
      <c r="K4" s="178">
        <v>0.107</v>
      </c>
      <c r="L4" s="179" t="s">
        <v>102</v>
      </c>
      <c r="M4" s="180"/>
      <c r="N4" s="180"/>
      <c r="O4" s="180"/>
      <c r="P4" s="180"/>
      <c r="Q4" s="181"/>
    </row>
    <row r="5" spans="1:17" x14ac:dyDescent="0.25">
      <c r="A5" s="16"/>
      <c r="B5" s="12"/>
      <c r="C5" s="12"/>
      <c r="D5" s="12"/>
      <c r="E5" s="12"/>
      <c r="F5" s="12"/>
      <c r="I5"/>
      <c r="J5"/>
      <c r="K5"/>
      <c r="L5"/>
      <c r="M5"/>
    </row>
    <row r="6" spans="1:17" x14ac:dyDescent="0.25">
      <c r="A6" s="116" t="s">
        <v>33</v>
      </c>
      <c r="B6" s="242">
        <f>C6*C4</f>
        <v>4600000</v>
      </c>
      <c r="C6" s="242">
        <v>1000000</v>
      </c>
      <c r="D6" s="231">
        <f>J17</f>
        <v>-471110.86956521741</v>
      </c>
      <c r="E6" s="61">
        <f>C6+D6</f>
        <v>528889.13043478259</v>
      </c>
      <c r="F6" s="64">
        <v>40</v>
      </c>
      <c r="G6" s="65">
        <f>(E6*(1)^(F6-1)*($K$2))/(1-((1)/(1+$K$2))^F6)</f>
        <v>42933.313293433261</v>
      </c>
      <c r="H6" s="65">
        <f>PMT(K2,F6,E6)</f>
        <v>-42933.313293433261</v>
      </c>
      <c r="I6"/>
      <c r="J6" s="143">
        <f>E6/$E$10</f>
        <v>7.7448779784349664E-2</v>
      </c>
      <c r="K6" s="143">
        <f>G6/$G$10</f>
        <v>7.3137294527816213E-2</v>
      </c>
      <c r="L6"/>
      <c r="M6"/>
    </row>
    <row r="7" spans="1:17" x14ac:dyDescent="0.25">
      <c r="A7" s="60" t="s">
        <v>34</v>
      </c>
      <c r="B7" s="242">
        <f>C7*C4</f>
        <v>9200000</v>
      </c>
      <c r="C7" s="242">
        <v>2000000</v>
      </c>
      <c r="D7" s="61"/>
      <c r="E7" s="61">
        <f t="shared" ref="E7:E9" si="0">C7+D7</f>
        <v>2000000</v>
      </c>
      <c r="F7" s="64">
        <v>40</v>
      </c>
      <c r="G7" s="65">
        <f>(E7*(1)^(F7-1)*($K$2))/(1-((1)/(1+$K$2))^F7)</f>
        <v>162352.79124809837</v>
      </c>
      <c r="H7" s="65">
        <f>PMT(K2,F7,E7)</f>
        <v>-162352.79124809837</v>
      </c>
      <c r="I7" s="67"/>
      <c r="J7" s="143">
        <f>E7/$E$10</f>
        <v>0.29287340324306355</v>
      </c>
      <c r="K7" s="143">
        <f t="shared" ref="K7:K9" si="1">G7/$G$10</f>
        <v>0.27656947484510569</v>
      </c>
      <c r="L7"/>
      <c r="M7"/>
    </row>
    <row r="8" spans="1:17" x14ac:dyDescent="0.25">
      <c r="A8" s="60" t="s">
        <v>35</v>
      </c>
      <c r="B8" s="242">
        <f>C8*C4</f>
        <v>1380000</v>
      </c>
      <c r="C8" s="242">
        <v>300000</v>
      </c>
      <c r="D8" s="61"/>
      <c r="E8" s="61">
        <f t="shared" si="0"/>
        <v>300000</v>
      </c>
      <c r="F8" s="64">
        <v>7</v>
      </c>
      <c r="G8" s="65">
        <f>(E8*(1)^(F8-1)*($K$2))/(1-((1)/(1+$K$2))^F8)</f>
        <v>57031.849594522762</v>
      </c>
      <c r="H8" s="65">
        <f>PMT(K2,F8,E8)</f>
        <v>-57031.849594522784</v>
      </c>
      <c r="I8"/>
      <c r="J8" s="143">
        <f>E8/$E$10</f>
        <v>4.3931010486459539E-2</v>
      </c>
      <c r="K8" s="143">
        <f t="shared" si="1"/>
        <v>9.7154280936866663E-2</v>
      </c>
      <c r="L8"/>
      <c r="M8"/>
    </row>
    <row r="9" spans="1:17" x14ac:dyDescent="0.25">
      <c r="A9" s="62" t="s">
        <v>36</v>
      </c>
      <c r="B9" s="243">
        <f>C9*C4</f>
        <v>18400000</v>
      </c>
      <c r="C9" s="243">
        <v>4000000</v>
      </c>
      <c r="D9" s="121"/>
      <c r="E9" s="125">
        <f t="shared" si="0"/>
        <v>4000000</v>
      </c>
      <c r="F9" s="64">
        <v>40</v>
      </c>
      <c r="G9" s="65">
        <f>(E9*(1)^(F9-1)*($K$2))/(1-((1)/(1+$K$2))^F9)</f>
        <v>324705.58249619673</v>
      </c>
      <c r="H9" s="65">
        <f>PMT(K2,F9,E9)</f>
        <v>-324705.58249619673</v>
      </c>
      <c r="I9" s="67"/>
      <c r="J9" s="143">
        <f>E9/$E$10</f>
        <v>0.58574680648612709</v>
      </c>
      <c r="K9" s="143">
        <f t="shared" si="1"/>
        <v>0.55313894969021138</v>
      </c>
      <c r="L9"/>
      <c r="M9"/>
    </row>
    <row r="10" spans="1:17" x14ac:dyDescent="0.25">
      <c r="A10" s="63" t="s">
        <v>37</v>
      </c>
      <c r="B10" s="244">
        <f>SUM(B6:B9)</f>
        <v>33580000</v>
      </c>
      <c r="C10" s="244">
        <f>SUM(C6:C9)</f>
        <v>7300000</v>
      </c>
      <c r="D10" s="66"/>
      <c r="E10" s="66">
        <f>SUM(E6:E9)</f>
        <v>6828889.1304347832</v>
      </c>
      <c r="F10" s="12"/>
      <c r="G10" s="110">
        <f>SUM(G6:G9)</f>
        <v>587023.53663225111</v>
      </c>
      <c r="H10" s="223">
        <f>SUM(H6:H9)</f>
        <v>-587023.53663225111</v>
      </c>
      <c r="I10"/>
      <c r="J10"/>
      <c r="K10"/>
      <c r="L10"/>
      <c r="M10"/>
    </row>
    <row r="11" spans="1:17" x14ac:dyDescent="0.25">
      <c r="A11" s="16"/>
      <c r="B11" s="12"/>
      <c r="C11" s="12"/>
      <c r="D11" s="12"/>
      <c r="E11" s="12"/>
      <c r="F11" s="12"/>
      <c r="G11" s="12"/>
      <c r="I11"/>
      <c r="J11"/>
      <c r="K11"/>
      <c r="L11"/>
      <c r="M11"/>
    </row>
    <row r="12" spans="1:17" x14ac:dyDescent="0.25">
      <c r="C12" s="118"/>
    </row>
    <row r="14" spans="1:17" x14ac:dyDescent="0.25">
      <c r="A14" s="116" t="s">
        <v>33</v>
      </c>
      <c r="B14" s="12" t="s">
        <v>105</v>
      </c>
      <c r="G14" s="12" t="s">
        <v>87</v>
      </c>
      <c r="H14" s="12" t="s">
        <v>72</v>
      </c>
      <c r="K14" s="118">
        <f>K13/SUM('[1]capacitati retea'!C14,'[1]capacitati retea'!C16)</f>
        <v>0</v>
      </c>
    </row>
    <row r="15" spans="1:17" x14ac:dyDescent="0.25">
      <c r="A15" s="13" t="s">
        <v>67</v>
      </c>
      <c r="B15" s="123">
        <v>2</v>
      </c>
      <c r="C15" s="13" t="s">
        <v>68</v>
      </c>
      <c r="G15" s="13">
        <v>1</v>
      </c>
      <c r="H15" s="13">
        <v>1</v>
      </c>
    </row>
    <row r="16" spans="1:17" x14ac:dyDescent="0.25">
      <c r="A16" s="13" t="s">
        <v>69</v>
      </c>
      <c r="B16" s="123">
        <v>4</v>
      </c>
      <c r="C16" s="13" t="s">
        <v>68</v>
      </c>
      <c r="G16" s="13" t="s">
        <v>77</v>
      </c>
      <c r="H16" s="13" t="str">
        <f>G16</f>
        <v>7 micro</v>
      </c>
    </row>
    <row r="17" spans="1:12" x14ac:dyDescent="0.25">
      <c r="A17" s="13" t="s">
        <v>70</v>
      </c>
      <c r="B17" s="123">
        <v>6</v>
      </c>
      <c r="C17" s="13" t="s">
        <v>68</v>
      </c>
      <c r="G17" s="13">
        <v>3</v>
      </c>
      <c r="H17" s="218">
        <v>0</v>
      </c>
      <c r="J17" s="230">
        <f>-(G17-H17)*'capacitati retea'!C3*1000*B17/C4</f>
        <v>-471110.86956521741</v>
      </c>
      <c r="K17" s="218" t="s">
        <v>132</v>
      </c>
      <c r="L17" s="218"/>
    </row>
    <row r="18" spans="1:12" x14ac:dyDescent="0.25">
      <c r="A18" s="13" t="s">
        <v>88</v>
      </c>
    </row>
    <row r="20" spans="1:12" x14ac:dyDescent="0.25">
      <c r="A20" s="13" t="s">
        <v>108</v>
      </c>
    </row>
  </sheetData>
  <hyperlinks>
    <hyperlink ref="L4" r:id="rId1"/>
  </hyperlinks>
  <pageMargins left="0.7" right="0.7" top="0.75" bottom="0.75" header="0.3" footer="0.3"/>
  <pageSetup orientation="portrait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3"/>
  <sheetViews>
    <sheetView zoomScaleNormal="100" zoomScalePageLayoutView="115" workbookViewId="0">
      <selection activeCell="E19" sqref="E19"/>
    </sheetView>
  </sheetViews>
  <sheetFormatPr defaultColWidth="8.7109375" defaultRowHeight="15" x14ac:dyDescent="0.25"/>
  <cols>
    <col min="1" max="1" width="36.85546875" customWidth="1"/>
    <col min="2" max="2" width="10.85546875" bestFit="1" customWidth="1"/>
    <col min="3" max="3" width="13.7109375" bestFit="1" customWidth="1"/>
    <col min="4" max="4" width="11.42578125" bestFit="1" customWidth="1"/>
    <col min="5" max="5" width="10" bestFit="1" customWidth="1"/>
    <col min="7" max="7" width="8.7109375" style="70"/>
    <col min="8" max="8" width="9.140625" bestFit="1" customWidth="1"/>
    <col min="9" max="9" width="11.140625" bestFit="1" customWidth="1"/>
    <col min="10" max="10" width="11.140625" customWidth="1"/>
    <col min="15" max="15" width="13.7109375" customWidth="1"/>
  </cols>
  <sheetData>
    <row r="1" spans="1:10" ht="15.75" thickBot="1" x14ac:dyDescent="0.3">
      <c r="I1" s="253" t="s">
        <v>41</v>
      </c>
      <c r="J1" s="253"/>
    </row>
    <row r="2" spans="1:10" x14ac:dyDescent="0.25">
      <c r="A2" s="21" t="s">
        <v>19</v>
      </c>
      <c r="B2" s="22"/>
      <c r="C2" s="22"/>
      <c r="D2" s="22"/>
      <c r="E2" s="22" t="s">
        <v>24</v>
      </c>
      <c r="F2" s="23"/>
      <c r="G2" s="13"/>
      <c r="I2" s="1" t="s">
        <v>18</v>
      </c>
      <c r="J2" s="1" t="s">
        <v>9</v>
      </c>
    </row>
    <row r="3" spans="1:10" x14ac:dyDescent="0.25">
      <c r="A3" s="24" t="s">
        <v>134</v>
      </c>
      <c r="B3" s="8"/>
      <c r="C3" s="2"/>
      <c r="D3" s="20"/>
      <c r="E3" s="232">
        <v>5000</v>
      </c>
      <c r="F3" s="26" t="s">
        <v>14</v>
      </c>
      <c r="G3" s="12"/>
      <c r="H3" s="67"/>
      <c r="I3" s="59">
        <f>E3*12</f>
        <v>60000</v>
      </c>
      <c r="J3" s="59">
        <f>I3/4.6</f>
        <v>13043.478260869566</v>
      </c>
    </row>
    <row r="4" spans="1:10" x14ac:dyDescent="0.25">
      <c r="A4" s="24"/>
      <c r="B4" s="8"/>
      <c r="C4" s="8"/>
      <c r="D4" s="8"/>
      <c r="E4" s="11"/>
      <c r="F4" s="25"/>
      <c r="G4" s="13"/>
    </row>
    <row r="5" spans="1:10" x14ac:dyDescent="0.25">
      <c r="A5" s="27" t="s">
        <v>15</v>
      </c>
      <c r="B5" s="4"/>
      <c r="C5" s="4"/>
      <c r="D5" s="4"/>
      <c r="E5" s="8"/>
      <c r="F5" s="25"/>
      <c r="G5" s="13"/>
    </row>
    <row r="6" spans="1:10" ht="29.45" customHeight="1" x14ac:dyDescent="0.25">
      <c r="A6" s="250" t="s">
        <v>136</v>
      </c>
      <c r="B6" s="251"/>
      <c r="C6" s="251"/>
      <c r="D6" s="251"/>
      <c r="E6" s="232">
        <v>5000</v>
      </c>
      <c r="F6" s="26" t="s">
        <v>14</v>
      </c>
      <c r="G6" s="12"/>
      <c r="I6" s="59">
        <f>E6*12</f>
        <v>60000</v>
      </c>
      <c r="J6" s="59">
        <f>I6/4.6</f>
        <v>13043.478260869566</v>
      </c>
    </row>
    <row r="7" spans="1:10" x14ac:dyDescent="0.25">
      <c r="A7" s="24"/>
      <c r="B7" s="8"/>
      <c r="C7" s="8"/>
      <c r="D7" s="8"/>
      <c r="E7" s="8"/>
      <c r="F7" s="25"/>
      <c r="G7" s="13"/>
    </row>
    <row r="8" spans="1:10" x14ac:dyDescent="0.25">
      <c r="A8" s="27" t="s">
        <v>16</v>
      </c>
      <c r="B8" s="4"/>
      <c r="C8" s="4"/>
      <c r="D8" s="4" t="s">
        <v>13</v>
      </c>
      <c r="E8" s="8"/>
      <c r="F8" s="25"/>
      <c r="G8" s="13"/>
    </row>
    <row r="9" spans="1:10" ht="28.9" customHeight="1" x14ac:dyDescent="0.25">
      <c r="A9" s="250" t="s">
        <v>135</v>
      </c>
      <c r="B9" s="251"/>
      <c r="C9" s="251"/>
      <c r="D9" s="251"/>
      <c r="E9" s="232">
        <v>5000</v>
      </c>
      <c r="F9" s="127" t="s">
        <v>14</v>
      </c>
      <c r="G9" s="126"/>
      <c r="H9" s="70"/>
      <c r="I9" s="128">
        <f>E9*12</f>
        <v>60000</v>
      </c>
      <c r="J9" s="128">
        <f>I9/4.6</f>
        <v>13043.478260869566</v>
      </c>
    </row>
    <row r="10" spans="1:10" x14ac:dyDescent="0.25">
      <c r="A10" s="24"/>
      <c r="B10" s="8"/>
      <c r="C10" s="8"/>
      <c r="D10" s="8"/>
      <c r="E10" s="8"/>
      <c r="F10" s="25"/>
      <c r="G10" s="13"/>
      <c r="H10" s="8"/>
    </row>
    <row r="11" spans="1:10" x14ac:dyDescent="0.25">
      <c r="A11" s="28" t="s">
        <v>20</v>
      </c>
      <c r="B11" s="7"/>
      <c r="C11" s="7"/>
      <c r="D11" s="7"/>
      <c r="E11" s="7"/>
      <c r="F11" s="33"/>
      <c r="G11" s="13"/>
      <c r="H11" s="8"/>
    </row>
    <row r="12" spans="1:10" x14ac:dyDescent="0.25">
      <c r="A12" s="29"/>
      <c r="B12" s="6" t="s">
        <v>23</v>
      </c>
      <c r="C12" s="6" t="s">
        <v>22</v>
      </c>
      <c r="D12" s="48" t="s">
        <v>21</v>
      </c>
      <c r="E12" s="8"/>
      <c r="F12" s="25"/>
      <c r="G12" s="13"/>
      <c r="H12" s="8"/>
    </row>
    <row r="13" spans="1:10" x14ac:dyDescent="0.25">
      <c r="A13" s="34" t="s">
        <v>25</v>
      </c>
      <c r="B13" s="9">
        <f>E3+E6+E9</f>
        <v>15000</v>
      </c>
      <c r="C13" s="9">
        <f>B13*12</f>
        <v>180000</v>
      </c>
      <c r="D13" s="17">
        <f>C13/4.6</f>
        <v>39130.434782608696</v>
      </c>
      <c r="E13" s="35"/>
      <c r="F13" s="36"/>
      <c r="G13" s="13"/>
      <c r="H13" s="8"/>
      <c r="I13" s="10">
        <f>SUM(I3:I9)</f>
        <v>180000</v>
      </c>
      <c r="J13" s="10">
        <f>I13/4.6</f>
        <v>39130.434782608696</v>
      </c>
    </row>
    <row r="14" spans="1:10" ht="15.75" thickBot="1" x14ac:dyDescent="0.3">
      <c r="A14" s="30"/>
      <c r="B14" s="31"/>
      <c r="C14" s="31"/>
      <c r="D14" s="31"/>
      <c r="E14" s="31"/>
      <c r="F14" s="32"/>
      <c r="G14" s="13"/>
    </row>
    <row r="16" spans="1:10" ht="15.75" thickBot="1" x14ac:dyDescent="0.3"/>
    <row r="17" spans="1:15" x14ac:dyDescent="0.25">
      <c r="A17" s="37" t="s">
        <v>17</v>
      </c>
      <c r="B17" s="38"/>
      <c r="C17" s="38"/>
      <c r="D17" s="38"/>
      <c r="E17" s="39"/>
      <c r="F17" s="40"/>
      <c r="G17" s="13"/>
    </row>
    <row r="18" spans="1:15" ht="29.45" customHeight="1" x14ac:dyDescent="0.25">
      <c r="A18" s="250" t="s">
        <v>137</v>
      </c>
      <c r="B18" s="251"/>
      <c r="C18" s="251"/>
      <c r="D18" s="251"/>
      <c r="E18" s="232">
        <v>5000</v>
      </c>
      <c r="F18" s="26" t="s">
        <v>14</v>
      </c>
      <c r="G18" s="126"/>
      <c r="I18" s="68">
        <f>I13*0.25</f>
        <v>45000</v>
      </c>
      <c r="J18" s="68">
        <f>I18/4.6</f>
        <v>9782.608695652174</v>
      </c>
      <c r="K18" s="249" t="s">
        <v>42</v>
      </c>
      <c r="L18" s="252"/>
      <c r="M18" s="252"/>
      <c r="N18" s="252"/>
      <c r="O18" s="252"/>
    </row>
    <row r="19" spans="1:15" x14ac:dyDescent="0.25">
      <c r="A19" s="24"/>
      <c r="B19" s="8"/>
      <c r="C19" s="2"/>
      <c r="D19" s="20"/>
      <c r="E19" s="11"/>
      <c r="F19" s="25"/>
      <c r="G19" s="13"/>
    </row>
    <row r="20" spans="1:15" x14ac:dyDescent="0.25">
      <c r="A20" s="28" t="s">
        <v>26</v>
      </c>
      <c r="B20" s="7"/>
      <c r="C20" s="7"/>
      <c r="D20" s="7"/>
      <c r="E20" s="7"/>
      <c r="F20" s="33"/>
      <c r="G20" s="13"/>
      <c r="I20" s="67"/>
    </row>
    <row r="21" spans="1:15" x14ac:dyDescent="0.25">
      <c r="A21" s="29"/>
      <c r="B21" s="6" t="s">
        <v>23</v>
      </c>
      <c r="C21" s="6" t="s">
        <v>22</v>
      </c>
      <c r="D21" s="6" t="s">
        <v>21</v>
      </c>
      <c r="E21" s="8"/>
      <c r="F21" s="25"/>
      <c r="G21" s="13"/>
    </row>
    <row r="22" spans="1:15" x14ac:dyDescent="0.25">
      <c r="A22" s="34" t="s">
        <v>27</v>
      </c>
      <c r="B22" s="9">
        <f>E18</f>
        <v>5000</v>
      </c>
      <c r="C22" s="9">
        <f>B22*12</f>
        <v>60000</v>
      </c>
      <c r="D22" s="17">
        <f>C22/4.6</f>
        <v>13043.478260869566</v>
      </c>
      <c r="E22" s="35"/>
      <c r="F22" s="36"/>
      <c r="G22" s="13"/>
      <c r="I22" s="69">
        <f>I13+I18</f>
        <v>225000</v>
      </c>
      <c r="J22" s="10">
        <f>I22/4.6</f>
        <v>48913.043478260872</v>
      </c>
    </row>
    <row r="23" spans="1:15" ht="15.75" thickBot="1" x14ac:dyDescent="0.3">
      <c r="A23" s="30"/>
      <c r="B23" s="31"/>
      <c r="C23" s="31"/>
      <c r="D23" s="31"/>
      <c r="E23" s="31"/>
      <c r="F23" s="32"/>
      <c r="G23" s="13"/>
    </row>
  </sheetData>
  <mergeCells count="5">
    <mergeCell ref="A6:D6"/>
    <mergeCell ref="A9:D9"/>
    <mergeCell ref="A18:D18"/>
    <mergeCell ref="K18:O18"/>
    <mergeCell ref="I1:J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I13" sqref="I13"/>
    </sheetView>
  </sheetViews>
  <sheetFormatPr defaultRowHeight="15" x14ac:dyDescent="0.25"/>
  <cols>
    <col min="1" max="1" width="12.140625" bestFit="1" customWidth="1"/>
    <col min="2" max="2" width="33.42578125" bestFit="1" customWidth="1"/>
    <col min="3" max="3" width="8.5703125" bestFit="1" customWidth="1"/>
    <col min="4" max="4" width="2.7109375" bestFit="1" customWidth="1"/>
    <col min="5" max="5" width="4" bestFit="1" customWidth="1"/>
    <col min="6" max="6" width="13.7109375" bestFit="1" customWidth="1"/>
    <col min="8" max="8" width="10.140625" bestFit="1" customWidth="1"/>
    <col min="9" max="9" width="9.140625" bestFit="1" customWidth="1"/>
    <col min="11" max="11" width="14.5703125" customWidth="1"/>
  </cols>
  <sheetData>
    <row r="1" spans="1:11" x14ac:dyDescent="0.25">
      <c r="E1" t="s">
        <v>138</v>
      </c>
    </row>
    <row r="2" spans="1:11" x14ac:dyDescent="0.25">
      <c r="A2" s="58" t="s">
        <v>29</v>
      </c>
      <c r="B2" s="52"/>
      <c r="C2" s="52"/>
      <c r="D2" s="52"/>
      <c r="E2" s="52"/>
      <c r="F2" s="53"/>
    </row>
    <row r="3" spans="1:11" x14ac:dyDescent="0.25">
      <c r="A3" s="1"/>
      <c r="B3" s="3" t="s">
        <v>0</v>
      </c>
      <c r="C3" s="105">
        <v>120.395</v>
      </c>
      <c r="D3" s="43" t="s">
        <v>1</v>
      </c>
      <c r="E3" s="44">
        <v>80</v>
      </c>
      <c r="F3" s="45" t="s">
        <v>2</v>
      </c>
      <c r="H3" s="115">
        <f>C3</f>
        <v>120.395</v>
      </c>
      <c r="I3" t="s">
        <v>65</v>
      </c>
    </row>
    <row r="4" spans="1:11" x14ac:dyDescent="0.25">
      <c r="A4" s="1"/>
      <c r="B4" s="50" t="s">
        <v>3</v>
      </c>
      <c r="C4" s="104">
        <v>2</v>
      </c>
      <c r="D4" s="43"/>
      <c r="E4" s="43"/>
      <c r="F4" s="49"/>
      <c r="H4" s="197">
        <v>31.882000000000001</v>
      </c>
      <c r="I4" t="s">
        <v>66</v>
      </c>
    </row>
    <row r="5" spans="1:11" x14ac:dyDescent="0.25">
      <c r="A5" s="1"/>
      <c r="B5" s="50" t="s">
        <v>54</v>
      </c>
      <c r="C5" s="104">
        <v>2</v>
      </c>
      <c r="D5" s="43"/>
      <c r="E5" s="43"/>
      <c r="F5" s="49"/>
      <c r="H5" s="198">
        <f>H6-H3-H4</f>
        <v>2.8730000000000082</v>
      </c>
      <c r="I5" t="s">
        <v>115</v>
      </c>
    </row>
    <row r="6" spans="1:11" x14ac:dyDescent="0.25">
      <c r="A6" s="58" t="s">
        <v>30</v>
      </c>
      <c r="B6" s="54"/>
      <c r="C6" s="55"/>
      <c r="D6" s="56"/>
      <c r="E6" s="56"/>
      <c r="F6" s="57"/>
      <c r="H6" s="115">
        <v>155.15</v>
      </c>
      <c r="I6" s="67"/>
    </row>
    <row r="7" spans="1:11" x14ac:dyDescent="0.25">
      <c r="A7" s="1"/>
      <c r="B7" s="3" t="s">
        <v>4</v>
      </c>
      <c r="C7" s="42">
        <v>2478</v>
      </c>
      <c r="D7" s="43" t="s">
        <v>1</v>
      </c>
      <c r="E7" s="44">
        <v>4</v>
      </c>
      <c r="F7" s="45" t="s">
        <v>5</v>
      </c>
      <c r="H7" s="67">
        <f>C7*14.3/1000</f>
        <v>35.435400000000001</v>
      </c>
      <c r="I7" t="s">
        <v>55</v>
      </c>
    </row>
    <row r="8" spans="1:11" x14ac:dyDescent="0.25">
      <c r="A8" s="1"/>
      <c r="B8" s="3" t="s">
        <v>6</v>
      </c>
      <c r="C8" s="42">
        <v>847</v>
      </c>
      <c r="D8" s="43" t="s">
        <v>1</v>
      </c>
      <c r="E8" s="44">
        <v>2</v>
      </c>
      <c r="F8" s="45" t="s">
        <v>5</v>
      </c>
      <c r="H8" s="67">
        <f>C8*21.1/1000</f>
        <v>17.871700000000001</v>
      </c>
      <c r="I8" t="s">
        <v>56</v>
      </c>
    </row>
    <row r="9" spans="1:11" x14ac:dyDescent="0.25">
      <c r="A9" s="1"/>
      <c r="B9" s="50" t="s">
        <v>7</v>
      </c>
      <c r="C9" s="245">
        <v>1</v>
      </c>
      <c r="D9" s="43"/>
      <c r="E9" s="43"/>
      <c r="F9" s="49"/>
    </row>
    <row r="10" spans="1:11" x14ac:dyDescent="0.25">
      <c r="A10" s="1"/>
      <c r="B10" s="50" t="s">
        <v>54</v>
      </c>
      <c r="C10" s="106">
        <v>0.7</v>
      </c>
      <c r="D10" s="43"/>
      <c r="E10" s="43"/>
      <c r="F10" s="49"/>
      <c r="H10" s="117">
        <f>SUM(H7:H9)</f>
        <v>53.307100000000005</v>
      </c>
    </row>
    <row r="11" spans="1:11" x14ac:dyDescent="0.25">
      <c r="A11" s="58" t="s">
        <v>31</v>
      </c>
      <c r="B11" s="54"/>
      <c r="C11" s="56"/>
      <c r="D11" s="56"/>
      <c r="E11" s="56"/>
      <c r="F11" s="57"/>
      <c r="I11" t="s">
        <v>75</v>
      </c>
      <c r="J11" t="s">
        <v>76</v>
      </c>
    </row>
    <row r="12" spans="1:11" x14ac:dyDescent="0.25">
      <c r="A12" s="1"/>
      <c r="B12" s="50" t="s">
        <v>10</v>
      </c>
      <c r="C12" s="42">
        <v>2949</v>
      </c>
      <c r="D12" s="43"/>
      <c r="E12" s="43"/>
      <c r="F12" s="49"/>
      <c r="H12" t="s">
        <v>73</v>
      </c>
      <c r="I12" s="241">
        <v>10</v>
      </c>
      <c r="J12" s="59">
        <f>C7</f>
        <v>2478</v>
      </c>
      <c r="K12" s="67"/>
    </row>
    <row r="13" spans="1:11" x14ac:dyDescent="0.25">
      <c r="A13" s="1"/>
      <c r="B13" s="3" t="s">
        <v>11</v>
      </c>
      <c r="C13" s="104">
        <f>C4</f>
        <v>2</v>
      </c>
      <c r="D13" s="43"/>
      <c r="E13" s="8"/>
      <c r="F13" s="51"/>
      <c r="H13" t="s">
        <v>74</v>
      </c>
      <c r="I13" s="241">
        <v>20</v>
      </c>
      <c r="J13" s="59">
        <f>C8</f>
        <v>847</v>
      </c>
      <c r="K13" s="67"/>
    </row>
    <row r="14" spans="1:11" x14ac:dyDescent="0.25">
      <c r="A14" s="1"/>
      <c r="B14" s="3" t="s">
        <v>28</v>
      </c>
      <c r="C14" s="233">
        <f>3.14*0.15^2*0.1*2</f>
        <v>1.4130000000000002E-2</v>
      </c>
      <c r="D14" s="43"/>
      <c r="E14" s="44">
        <v>1.5</v>
      </c>
      <c r="F14" s="45" t="s">
        <v>12</v>
      </c>
    </row>
    <row r="15" spans="1:11" x14ac:dyDescent="0.25">
      <c r="A15" s="1"/>
      <c r="B15" s="5" t="s">
        <v>54</v>
      </c>
      <c r="C15" s="107">
        <f>C5</f>
        <v>2</v>
      </c>
      <c r="D15" s="41"/>
      <c r="E15" s="46"/>
      <c r="F15" s="47"/>
    </row>
    <row r="16" spans="1:11" s="13" customFormat="1" x14ac:dyDescent="0.25">
      <c r="A16" s="234"/>
      <c r="B16" s="235"/>
      <c r="C16" s="236"/>
      <c r="D16" s="236"/>
      <c r="E16" s="236"/>
      <c r="F16" s="237"/>
    </row>
    <row r="17" spans="1:12" s="8" customFormat="1" x14ac:dyDescent="0.25"/>
    <row r="18" spans="1:12" s="8" customFormat="1" x14ac:dyDescent="0.25"/>
    <row r="19" spans="1:12" s="8" customFormat="1" x14ac:dyDescent="0.25"/>
    <row r="20" spans="1:12" s="8" customFormat="1" x14ac:dyDescent="0.25"/>
    <row r="21" spans="1:12" ht="15.75" x14ac:dyDescent="0.25">
      <c r="A21" s="108"/>
    </row>
    <row r="22" spans="1:12" ht="15.75" x14ac:dyDescent="0.25">
      <c r="A22" s="109"/>
      <c r="I22" s="210"/>
    </row>
    <row r="23" spans="1:12" ht="15.75" x14ac:dyDescent="0.25">
      <c r="A23" s="109"/>
    </row>
    <row r="24" spans="1:12" x14ac:dyDescent="0.25">
      <c r="I24" s="203"/>
      <c r="J24" s="220"/>
      <c r="L24" s="67"/>
    </row>
    <row r="25" spans="1:12" x14ac:dyDescent="0.25">
      <c r="I25" s="203"/>
      <c r="J25" s="220"/>
      <c r="L25" s="67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110" zoomScaleNormal="110" workbookViewId="0">
      <selection activeCell="C9" sqref="C9"/>
    </sheetView>
  </sheetViews>
  <sheetFormatPr defaultRowHeight="15" x14ac:dyDescent="0.25"/>
  <cols>
    <col min="2" max="2" width="14.42578125" customWidth="1"/>
    <col min="3" max="3" width="12.7109375" bestFit="1" customWidth="1"/>
    <col min="4" max="4" width="13.7109375" customWidth="1"/>
    <col min="5" max="5" width="6.5703125" bestFit="1" customWidth="1"/>
    <col min="6" max="6" width="9.85546875" customWidth="1"/>
    <col min="7" max="7" width="16.42578125" bestFit="1" customWidth="1"/>
    <col min="8" max="8" width="8.42578125" customWidth="1"/>
    <col min="13" max="13" width="10.28515625" bestFit="1" customWidth="1"/>
    <col min="14" max="14" width="9.28515625" bestFit="1" customWidth="1"/>
  </cols>
  <sheetData>
    <row r="1" spans="1:8" x14ac:dyDescent="0.25">
      <c r="C1" t="s">
        <v>46</v>
      </c>
      <c r="D1" t="s">
        <v>110</v>
      </c>
    </row>
    <row r="2" spans="1:8" ht="22.5" x14ac:dyDescent="0.25">
      <c r="A2" s="1" t="s">
        <v>109</v>
      </c>
      <c r="B2" s="116" t="s">
        <v>33</v>
      </c>
      <c r="C2" s="191">
        <f>CAPEX!E6</f>
        <v>528889.13043478259</v>
      </c>
      <c r="D2" s="143">
        <f>C2/$C$6</f>
        <v>0.18696000657809295</v>
      </c>
    </row>
    <row r="3" spans="1:8" ht="25.15" customHeight="1" x14ac:dyDescent="0.25">
      <c r="B3" s="60" t="s">
        <v>34</v>
      </c>
      <c r="C3" s="191">
        <f>CAPEX!E7</f>
        <v>2000000</v>
      </c>
      <c r="D3" s="143">
        <f>C3/$C$6</f>
        <v>0.70699129862774523</v>
      </c>
    </row>
    <row r="4" spans="1:8" ht="33.75" x14ac:dyDescent="0.25">
      <c r="B4" s="60" t="s">
        <v>35</v>
      </c>
      <c r="C4" s="191">
        <f>CAPEX!E8</f>
        <v>300000</v>
      </c>
      <c r="D4" s="143">
        <f>C4/$C$6</f>
        <v>0.10604869479416179</v>
      </c>
    </row>
    <row r="5" spans="1:8" ht="22.5" x14ac:dyDescent="0.25">
      <c r="B5" s="62" t="s">
        <v>36</v>
      </c>
      <c r="C5" s="191">
        <v>0</v>
      </c>
      <c r="D5" s="238">
        <f t="shared" ref="D5" si="0">C5/$C$6</f>
        <v>0</v>
      </c>
      <c r="E5" s="239"/>
      <c r="F5" s="239" t="s">
        <v>129</v>
      </c>
      <c r="G5" s="239"/>
    </row>
    <row r="6" spans="1:8" x14ac:dyDescent="0.25">
      <c r="B6" t="s">
        <v>37</v>
      </c>
      <c r="C6" s="191">
        <f>SUM(C2:C5)</f>
        <v>2828889.1304347827</v>
      </c>
    </row>
    <row r="7" spans="1:8" x14ac:dyDescent="0.25">
      <c r="C7" s="222"/>
    </row>
    <row r="9" spans="1:8" ht="15.75" thickBot="1" x14ac:dyDescent="0.3">
      <c r="B9" s="158" t="s">
        <v>79</v>
      </c>
      <c r="C9" s="147" t="s">
        <v>71</v>
      </c>
      <c r="D9" s="147" t="s">
        <v>80</v>
      </c>
      <c r="E9" s="147"/>
      <c r="F9" s="147" t="s">
        <v>81</v>
      </c>
      <c r="G9" s="147" t="s">
        <v>82</v>
      </c>
      <c r="H9" s="147"/>
    </row>
    <row r="10" spans="1:8" x14ac:dyDescent="0.25">
      <c r="B10" s="147">
        <v>125</v>
      </c>
      <c r="C10" s="240">
        <v>0</v>
      </c>
      <c r="D10" s="221">
        <v>0</v>
      </c>
      <c r="E10" s="221"/>
      <c r="F10" s="221">
        <f t="shared" ref="F10:F15" si="1">C10*D10</f>
        <v>0</v>
      </c>
      <c r="G10" s="148">
        <f t="shared" ref="G10:G15" si="2">F10/$F$16</f>
        <v>0</v>
      </c>
      <c r="H10" s="149">
        <f>G10+G11+G12</f>
        <v>0.77953943428489691</v>
      </c>
    </row>
    <row r="11" spans="1:8" x14ac:dyDescent="0.25">
      <c r="B11" s="147">
        <v>40</v>
      </c>
      <c r="C11" s="241">
        <f>CAPEX!B15</f>
        <v>2</v>
      </c>
      <c r="D11" s="147">
        <f>'capacitati retea'!$H$3</f>
        <v>120.395</v>
      </c>
      <c r="E11" s="147"/>
      <c r="F11" s="147">
        <f t="shared" si="1"/>
        <v>240.79</v>
      </c>
      <c r="G11" s="150">
        <f t="shared" si="2"/>
        <v>0.12992323904748282</v>
      </c>
      <c r="H11" s="151"/>
    </row>
    <row r="12" spans="1:8" ht="15.75" thickBot="1" x14ac:dyDescent="0.3">
      <c r="B12" s="147" t="s">
        <v>77</v>
      </c>
      <c r="C12" s="241">
        <v>10</v>
      </c>
      <c r="D12" s="147">
        <f>'capacitati retea'!$H$3</f>
        <v>120.395</v>
      </c>
      <c r="E12" s="147"/>
      <c r="F12" s="147">
        <f t="shared" si="1"/>
        <v>1203.95</v>
      </c>
      <c r="G12" s="152">
        <f t="shared" si="2"/>
        <v>0.6496161952374141</v>
      </c>
      <c r="H12" s="153"/>
    </row>
    <row r="13" spans="1:8" x14ac:dyDescent="0.25">
      <c r="B13" s="147">
        <v>40</v>
      </c>
      <c r="C13" s="241">
        <f>CAPEX!B15</f>
        <v>2</v>
      </c>
      <c r="D13" s="187">
        <f>'capacitati retea'!H8</f>
        <v>17.871700000000001</v>
      </c>
      <c r="E13" s="147"/>
      <c r="F13" s="147">
        <f t="shared" si="1"/>
        <v>35.743400000000001</v>
      </c>
      <c r="G13" s="148">
        <f t="shared" si="2"/>
        <v>1.9286092871671569E-2</v>
      </c>
      <c r="H13" s="149">
        <f>G13+G14+G15</f>
        <v>0.22046056571510309</v>
      </c>
    </row>
    <row r="14" spans="1:8" x14ac:dyDescent="0.25">
      <c r="B14" s="147">
        <v>63</v>
      </c>
      <c r="C14" s="241">
        <v>3</v>
      </c>
      <c r="D14" s="187">
        <f>'capacitati retea'!H7</f>
        <v>35.435400000000001</v>
      </c>
      <c r="E14" s="147"/>
      <c r="F14" s="147">
        <f t="shared" si="1"/>
        <v>106.3062</v>
      </c>
      <c r="G14" s="150">
        <f t="shared" si="2"/>
        <v>5.7359715249094723E-2</v>
      </c>
      <c r="H14" s="151"/>
    </row>
    <row r="15" spans="1:8" ht="15.75" thickBot="1" x14ac:dyDescent="0.3">
      <c r="B15" s="158" t="s">
        <v>78</v>
      </c>
      <c r="C15" s="241">
        <v>5</v>
      </c>
      <c r="D15" s="187">
        <f>'capacitati retea'!H10</f>
        <v>53.307100000000005</v>
      </c>
      <c r="E15" s="147"/>
      <c r="F15" s="188">
        <f t="shared" si="1"/>
        <v>266.53550000000001</v>
      </c>
      <c r="G15" s="152">
        <f t="shared" si="2"/>
        <v>0.14381475759433679</v>
      </c>
      <c r="H15" s="153"/>
    </row>
    <row r="16" spans="1:8" x14ac:dyDescent="0.25">
      <c r="B16" s="147"/>
      <c r="C16" s="147"/>
      <c r="D16" s="147"/>
      <c r="E16" s="147"/>
      <c r="F16" s="147">
        <f>SUM(F10:F15)</f>
        <v>1853.3251</v>
      </c>
      <c r="G16" s="221">
        <f>SUM(G10:G15)</f>
        <v>1</v>
      </c>
      <c r="H16" s="147"/>
    </row>
    <row r="18" spans="2:14" x14ac:dyDescent="0.25">
      <c r="B18" s="131"/>
      <c r="C18" s="159" t="s">
        <v>84</v>
      </c>
      <c r="D18" s="131"/>
      <c r="E18" s="131" t="s">
        <v>85</v>
      </c>
    </row>
    <row r="19" spans="2:14" x14ac:dyDescent="0.25">
      <c r="B19" s="131" t="s">
        <v>29</v>
      </c>
      <c r="C19" s="132">
        <f>'capacitati retea'!H3*1.1*0.45</f>
        <v>59.595525000000009</v>
      </c>
      <c r="D19" s="131"/>
      <c r="E19" s="136">
        <f>C19/$C$22</f>
        <v>0.7749023188937777</v>
      </c>
      <c r="F19" s="143">
        <f>E19</f>
        <v>0.7749023188937777</v>
      </c>
      <c r="G19" s="143"/>
    </row>
    <row r="20" spans="2:14" x14ac:dyDescent="0.25">
      <c r="B20" s="131" t="s">
        <v>83</v>
      </c>
      <c r="C20" s="133">
        <f>'capacitati retea'!H4*0.7*0.3</f>
        <v>6.6952199999999999</v>
      </c>
      <c r="D20" s="131"/>
      <c r="E20" s="136">
        <f>C20/$C$22</f>
        <v>8.7055890580777617E-2</v>
      </c>
      <c r="F20" s="143">
        <f>E20</f>
        <v>8.7055890580777617E-2</v>
      </c>
      <c r="G20" s="143"/>
    </row>
    <row r="21" spans="2:14" x14ac:dyDescent="0.25">
      <c r="B21" s="131" t="s">
        <v>58</v>
      </c>
      <c r="C21" s="133">
        <f>'capacitati retea'!C12*1.5*1.5*1.6/1000</f>
        <v>10.616400000000002</v>
      </c>
      <c r="D21" s="131"/>
      <c r="E21" s="136">
        <f>C21/$C$22</f>
        <v>0.13804179052544469</v>
      </c>
      <c r="F21" s="143">
        <f>E21</f>
        <v>0.13804179052544469</v>
      </c>
      <c r="G21" s="143"/>
    </row>
    <row r="22" spans="2:14" x14ac:dyDescent="0.25">
      <c r="B22" s="131"/>
      <c r="C22" s="190">
        <f>SUM(C19:C21)</f>
        <v>76.907145000000014</v>
      </c>
      <c r="D22" s="131"/>
      <c r="E22" s="131"/>
    </row>
    <row r="23" spans="2:14" x14ac:dyDescent="0.25">
      <c r="M23" s="117"/>
    </row>
    <row r="24" spans="2:14" x14ac:dyDescent="0.25">
      <c r="M24" s="117"/>
      <c r="N24" s="67"/>
    </row>
    <row r="25" spans="2:14" x14ac:dyDescent="0.25">
      <c r="M25" s="117"/>
    </row>
    <row r="26" spans="2:14" x14ac:dyDescent="0.25">
      <c r="M26" s="6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 confidentiale</vt:lpstr>
      <vt:lpstr>calcul tarife</vt:lpstr>
      <vt:lpstr>calcul tarife (v2)</vt:lpstr>
      <vt:lpstr>remaining asset life</vt:lpstr>
      <vt:lpstr>CAPEX</vt:lpstr>
      <vt:lpstr>OPEX</vt:lpstr>
      <vt:lpstr>capacitati retea</vt:lpstr>
      <vt:lpstr>matrice alocare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dan.ionita</dc:creator>
  <cp:lastModifiedBy>Anca Calin</cp:lastModifiedBy>
  <cp:lastPrinted>2018-07-26T09:09:04Z</cp:lastPrinted>
  <dcterms:created xsi:type="dcterms:W3CDTF">2017-10-05T17:38:11Z</dcterms:created>
  <dcterms:modified xsi:type="dcterms:W3CDTF">2018-09-04T14:05:59Z</dcterms:modified>
</cp:coreProperties>
</file>