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irectia Relatii Publice\Serviciul Comunicare\Playground\de citit\consultare\2018.12.20 CC_Netcity\"/>
    </mc:Choice>
  </mc:AlternateContent>
  <bookViews>
    <workbookView xWindow="0" yWindow="0" windowWidth="19200" windowHeight="8595" tabRatio="911" firstSheet="3" activeTab="3"/>
  </bookViews>
  <sheets>
    <sheet name="_TM_Summary" sheetId="27" state="veryHidden" r:id="rId1"/>
    <sheet name="modificari" sheetId="60" r:id="rId2"/>
    <sheet name="Sumar" sheetId="26" r:id="rId3"/>
    <sheet name="Matrice de alocare" sheetId="30" r:id="rId4"/>
    <sheet name="Ipoteze de lucru" sheetId="15" r:id="rId5"/>
    <sheet name="1. CAPEX" sheetId="35" r:id="rId6"/>
    <sheet name="3. OPEX 2017" sheetId="17" r:id="rId7"/>
    <sheet name="4. Capacitati de retea" sheetId="9" r:id="rId8"/>
    <sheet name="_TM_Volumes" sheetId="28" state="veryHidden" r:id="rId9"/>
    <sheet name="OPEX" sheetId="48" r:id="rId10"/>
    <sheet name="CAPEX 2013" sheetId="55" r:id="rId11"/>
    <sheet name="Capacitati 2017" sheetId="58" r:id="rId12"/>
    <sheet name="Alte servicii" sheetId="38" r:id="rId13"/>
    <sheet name="Materiale" sheetId="54" r:id="rId14"/>
  </sheets>
  <externalReferences>
    <externalReference r:id="rId15"/>
  </externalReferences>
  <definedNames>
    <definedName name="constant">'Ipoteze de lucru'!$F$14</definedName>
    <definedName name="LIMBA">Sumar!#REF!</definedName>
    <definedName name="max">'Ipoteze de lucru'!$F$24</definedName>
    <definedName name="_xlnm.Print_Area" localSheetId="5">'1. CAPEX'!$A$1:$P$94</definedName>
    <definedName name="RF">'Ipoteze de lucru'!$F$20</definedName>
    <definedName name="SSP">'Ipoteze de lucru'!$F$22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60" l="1"/>
  <c r="A2" i="60"/>
  <c r="AE136" i="58"/>
  <c r="AD136" i="58"/>
  <c r="AF136" i="58"/>
  <c r="AE135" i="58"/>
  <c r="AD135" i="58"/>
  <c r="AF135" i="58"/>
  <c r="AE134" i="58"/>
  <c r="AD134" i="58"/>
  <c r="AF134" i="58"/>
  <c r="AE133" i="58"/>
  <c r="AD133" i="58"/>
  <c r="AE132" i="58"/>
  <c r="AD132" i="58"/>
  <c r="AF132" i="58"/>
  <c r="AD131" i="58"/>
  <c r="AE131" i="58"/>
  <c r="AF131" i="58"/>
  <c r="AE130" i="58"/>
  <c r="AD130" i="58"/>
  <c r="AF130" i="58"/>
  <c r="AE129" i="58"/>
  <c r="AD129" i="58"/>
  <c r="AF129" i="58"/>
  <c r="AE128" i="58"/>
  <c r="AD128" i="58"/>
  <c r="AF128" i="58"/>
  <c r="AE127" i="58"/>
  <c r="AD127" i="58"/>
  <c r="AF127" i="58"/>
  <c r="AE126" i="58"/>
  <c r="AD126" i="58"/>
  <c r="AE125" i="58"/>
  <c r="AD125" i="58"/>
  <c r="AF125" i="58"/>
  <c r="AE120" i="58"/>
  <c r="AD120" i="58"/>
  <c r="AC120" i="58"/>
  <c r="Z120" i="58"/>
  <c r="W120" i="58"/>
  <c r="T120" i="58"/>
  <c r="Q120" i="58"/>
  <c r="N120" i="58"/>
  <c r="K120" i="58"/>
  <c r="H120" i="58"/>
  <c r="E120" i="58"/>
  <c r="AE119" i="58"/>
  <c r="AD119" i="58"/>
  <c r="AF119" i="58"/>
  <c r="AC119" i="58"/>
  <c r="Z119" i="58"/>
  <c r="W119" i="58"/>
  <c r="T119" i="58"/>
  <c r="Q119" i="58"/>
  <c r="N119" i="58"/>
  <c r="K119" i="58"/>
  <c r="H119" i="58"/>
  <c r="E119" i="58"/>
  <c r="AE118" i="58"/>
  <c r="AD118" i="58"/>
  <c r="AF118" i="58"/>
  <c r="AC118" i="58"/>
  <c r="Z118" i="58"/>
  <c r="W118" i="58"/>
  <c r="T118" i="58"/>
  <c r="Q118" i="58"/>
  <c r="N118" i="58"/>
  <c r="K118" i="58"/>
  <c r="H118" i="58"/>
  <c r="E118" i="58"/>
  <c r="AE117" i="58"/>
  <c r="AD117" i="58"/>
  <c r="AF117" i="58"/>
  <c r="AC117" i="58"/>
  <c r="Z117" i="58"/>
  <c r="W117" i="58"/>
  <c r="T117" i="58"/>
  <c r="Q117" i="58"/>
  <c r="N117" i="58"/>
  <c r="K117" i="58"/>
  <c r="H117" i="58"/>
  <c r="E117" i="58"/>
  <c r="AE116" i="58"/>
  <c r="AD116" i="58"/>
  <c r="AC116" i="58"/>
  <c r="Z116" i="58"/>
  <c r="W116" i="58"/>
  <c r="T116" i="58"/>
  <c r="Q116" i="58"/>
  <c r="N116" i="58"/>
  <c r="K116" i="58"/>
  <c r="H116" i="58"/>
  <c r="E116" i="58"/>
  <c r="AE115" i="58"/>
  <c r="AD115" i="58"/>
  <c r="AF115" i="58"/>
  <c r="AC115" i="58"/>
  <c r="Z115" i="58"/>
  <c r="W115" i="58"/>
  <c r="T115" i="58"/>
  <c r="Q115" i="58"/>
  <c r="N115" i="58"/>
  <c r="K115" i="58"/>
  <c r="H115" i="58"/>
  <c r="E115" i="58"/>
  <c r="AE114" i="58"/>
  <c r="AD114" i="58"/>
  <c r="AF114" i="58"/>
  <c r="AC114" i="58"/>
  <c r="Z114" i="58"/>
  <c r="W114" i="58"/>
  <c r="T114" i="58"/>
  <c r="Q114" i="58"/>
  <c r="N114" i="58"/>
  <c r="K114" i="58"/>
  <c r="H114" i="58"/>
  <c r="E114" i="58"/>
  <c r="AE113" i="58"/>
  <c r="AD113" i="58"/>
  <c r="AF113" i="58"/>
  <c r="AC113" i="58"/>
  <c r="Z113" i="58"/>
  <c r="W113" i="58"/>
  <c r="T113" i="58"/>
  <c r="Q113" i="58"/>
  <c r="N113" i="58"/>
  <c r="K113" i="58"/>
  <c r="H113" i="58"/>
  <c r="E113" i="58"/>
  <c r="AE112" i="58"/>
  <c r="AD112" i="58"/>
  <c r="AC112" i="58"/>
  <c r="Z112" i="58"/>
  <c r="W112" i="58"/>
  <c r="T112" i="58"/>
  <c r="Q112" i="58"/>
  <c r="N112" i="58"/>
  <c r="K112" i="58"/>
  <c r="H112" i="58"/>
  <c r="E112" i="58"/>
  <c r="AE111" i="58"/>
  <c r="AD111" i="58"/>
  <c r="AF111" i="58"/>
  <c r="AC111" i="58"/>
  <c r="Z111" i="58"/>
  <c r="W111" i="58"/>
  <c r="T111" i="58"/>
  <c r="Q111" i="58"/>
  <c r="N111" i="58"/>
  <c r="K111" i="58"/>
  <c r="H111" i="58"/>
  <c r="E111" i="58"/>
  <c r="AE110" i="58"/>
  <c r="AD110" i="58"/>
  <c r="AF110" i="58"/>
  <c r="AC110" i="58"/>
  <c r="Z110" i="58"/>
  <c r="W110" i="58"/>
  <c r="T110" i="58"/>
  <c r="Q110" i="58"/>
  <c r="N110" i="58"/>
  <c r="K110" i="58"/>
  <c r="H110" i="58"/>
  <c r="E110" i="58"/>
  <c r="AE88" i="58"/>
  <c r="AD88" i="58"/>
  <c r="AF88" i="58"/>
  <c r="AC88" i="58"/>
  <c r="Z88" i="58"/>
  <c r="W88" i="58"/>
  <c r="T88" i="58"/>
  <c r="Q88" i="58"/>
  <c r="N88" i="58"/>
  <c r="H88" i="58"/>
  <c r="E88" i="58"/>
  <c r="AE87" i="58"/>
  <c r="AD87" i="58"/>
  <c r="AF87" i="58"/>
  <c r="AC87" i="58"/>
  <c r="Z87" i="58"/>
  <c r="W87" i="58"/>
  <c r="T87" i="58"/>
  <c r="Q87" i="58"/>
  <c r="N87" i="58"/>
  <c r="H87" i="58"/>
  <c r="E87" i="58"/>
  <c r="AE86" i="58"/>
  <c r="AD86" i="58"/>
  <c r="AF86" i="58"/>
  <c r="AC86" i="58"/>
  <c r="Z86" i="58"/>
  <c r="W86" i="58"/>
  <c r="T86" i="58"/>
  <c r="Q86" i="58"/>
  <c r="N86" i="58"/>
  <c r="H86" i="58"/>
  <c r="E86" i="58"/>
  <c r="AE85" i="58"/>
  <c r="AD85" i="58"/>
  <c r="AC85" i="58"/>
  <c r="Z85" i="58"/>
  <c r="W85" i="58"/>
  <c r="T85" i="58"/>
  <c r="Q85" i="58"/>
  <c r="N85" i="58"/>
  <c r="H85" i="58"/>
  <c r="E85" i="58"/>
  <c r="AE84" i="58"/>
  <c r="AD84" i="58"/>
  <c r="AF84" i="58"/>
  <c r="AC84" i="58"/>
  <c r="Z84" i="58"/>
  <c r="W84" i="58"/>
  <c r="T84" i="58"/>
  <c r="Q84" i="58"/>
  <c r="N84" i="58"/>
  <c r="H84" i="58"/>
  <c r="E84" i="58"/>
  <c r="AD83" i="58"/>
  <c r="AE83" i="58"/>
  <c r="AF83" i="58"/>
  <c r="AC83" i="58"/>
  <c r="Z83" i="58"/>
  <c r="W83" i="58"/>
  <c r="T83" i="58"/>
  <c r="Q83" i="58"/>
  <c r="N83" i="58"/>
  <c r="H83" i="58"/>
  <c r="E83" i="58"/>
  <c r="AE82" i="58"/>
  <c r="AD82" i="58"/>
  <c r="AF82" i="58"/>
  <c r="AC82" i="58"/>
  <c r="Z82" i="58"/>
  <c r="W82" i="58"/>
  <c r="T82" i="58"/>
  <c r="Q82" i="58"/>
  <c r="N82" i="58"/>
  <c r="H82" i="58"/>
  <c r="E82" i="58"/>
  <c r="AE81" i="58"/>
  <c r="AD81" i="58"/>
  <c r="AF81" i="58"/>
  <c r="AC81" i="58"/>
  <c r="Z81" i="58"/>
  <c r="W81" i="58"/>
  <c r="T81" i="58"/>
  <c r="Q81" i="58"/>
  <c r="N81" i="58"/>
  <c r="H81" i="58"/>
  <c r="E81" i="58"/>
  <c r="AE80" i="58"/>
  <c r="AD80" i="58"/>
  <c r="AF80" i="58"/>
  <c r="AC80" i="58"/>
  <c r="Z80" i="58"/>
  <c r="W80" i="58"/>
  <c r="T80" i="58"/>
  <c r="Q80" i="58"/>
  <c r="N80" i="58"/>
  <c r="H80" i="58"/>
  <c r="E80" i="58"/>
  <c r="AE79" i="58"/>
  <c r="AD79" i="58"/>
  <c r="AF79" i="58"/>
  <c r="AC79" i="58"/>
  <c r="Z79" i="58"/>
  <c r="W79" i="58"/>
  <c r="T79" i="58"/>
  <c r="Q79" i="58"/>
  <c r="N79" i="58"/>
  <c r="H79" i="58"/>
  <c r="E79" i="58"/>
  <c r="AE78" i="58"/>
  <c r="AD78" i="58"/>
  <c r="AF78" i="58"/>
  <c r="AC78" i="58"/>
  <c r="Z78" i="58"/>
  <c r="W78" i="58"/>
  <c r="T78" i="58"/>
  <c r="Q78" i="58"/>
  <c r="N78" i="58"/>
  <c r="H78" i="58"/>
  <c r="E78" i="58"/>
  <c r="AF71" i="58"/>
  <c r="AF72" i="58"/>
  <c r="AE64" i="58"/>
  <c r="AE65" i="58"/>
  <c r="AE66" i="58"/>
  <c r="AE67" i="58"/>
  <c r="AE69" i="58"/>
  <c r="AE70" i="58"/>
  <c r="AE73" i="58"/>
  <c r="AD73" i="58"/>
  <c r="AF73" i="58"/>
  <c r="AE63" i="58"/>
  <c r="AD63" i="58"/>
  <c r="AF63" i="58"/>
  <c r="AD64" i="58"/>
  <c r="AF64" i="58"/>
  <c r="AD65" i="58"/>
  <c r="AF65" i="58"/>
  <c r="AD66" i="58"/>
  <c r="AF66" i="58"/>
  <c r="AD67" i="58"/>
  <c r="AF67" i="58"/>
  <c r="AD68" i="58"/>
  <c r="AF68" i="58"/>
  <c r="AD69" i="58"/>
  <c r="AF69" i="58"/>
  <c r="AD70" i="58"/>
  <c r="AF70" i="58"/>
  <c r="AC48" i="58"/>
  <c r="AC49" i="58"/>
  <c r="AC50" i="58"/>
  <c r="AC51" i="58"/>
  <c r="AC52" i="58"/>
  <c r="AC53" i="58"/>
  <c r="AC54" i="58"/>
  <c r="AC55" i="58"/>
  <c r="AC56" i="58"/>
  <c r="AC57" i="58"/>
  <c r="AC58" i="58"/>
  <c r="AC47" i="58"/>
  <c r="Z48" i="58"/>
  <c r="Z49" i="58"/>
  <c r="Z50" i="58"/>
  <c r="Z51" i="58"/>
  <c r="Z52" i="58"/>
  <c r="Z53" i="58"/>
  <c r="Z54" i="58"/>
  <c r="Z55" i="58"/>
  <c r="Z56" i="58"/>
  <c r="Z57" i="58"/>
  <c r="Z58" i="58"/>
  <c r="Z47" i="58"/>
  <c r="W48" i="58"/>
  <c r="W49" i="58"/>
  <c r="W50" i="58"/>
  <c r="W51" i="58"/>
  <c r="W52" i="58"/>
  <c r="W53" i="58"/>
  <c r="W54" i="58"/>
  <c r="W55" i="58"/>
  <c r="W56" i="58"/>
  <c r="W57" i="58"/>
  <c r="W58" i="58"/>
  <c r="W47" i="58"/>
  <c r="T47" i="58"/>
  <c r="T48" i="58"/>
  <c r="T49" i="58"/>
  <c r="T50" i="58"/>
  <c r="T51" i="58"/>
  <c r="T52" i="58"/>
  <c r="T53" i="58"/>
  <c r="T54" i="58"/>
  <c r="T55" i="58"/>
  <c r="T56" i="58"/>
  <c r="T57" i="58"/>
  <c r="T58" i="58"/>
  <c r="T46" i="58"/>
  <c r="Q48" i="58"/>
  <c r="Q49" i="58"/>
  <c r="Q50" i="58"/>
  <c r="Q51" i="58"/>
  <c r="Q52" i="58"/>
  <c r="Q53" i="58"/>
  <c r="Q54" i="58"/>
  <c r="Q55" i="58"/>
  <c r="Q56" i="58"/>
  <c r="Q57" i="58"/>
  <c r="Q58" i="58"/>
  <c r="Q47" i="58"/>
  <c r="N47" i="58"/>
  <c r="N48" i="58"/>
  <c r="N49" i="58"/>
  <c r="N50" i="58"/>
  <c r="N51" i="58"/>
  <c r="N52" i="58"/>
  <c r="N53" i="58"/>
  <c r="N54" i="58"/>
  <c r="N55" i="58"/>
  <c r="N56" i="58"/>
  <c r="N57" i="58"/>
  <c r="N58" i="58"/>
  <c r="N46" i="58"/>
  <c r="K47" i="58"/>
  <c r="K48" i="58"/>
  <c r="K49" i="58"/>
  <c r="K50" i="58"/>
  <c r="K51" i="58"/>
  <c r="K52" i="58"/>
  <c r="K53" i="58"/>
  <c r="K54" i="58"/>
  <c r="K55" i="58"/>
  <c r="K56" i="58"/>
  <c r="K57" i="58"/>
  <c r="K58" i="58"/>
  <c r="K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46" i="58"/>
  <c r="E47" i="58"/>
  <c r="E48" i="58"/>
  <c r="E49" i="58"/>
  <c r="E50" i="58"/>
  <c r="E51" i="58"/>
  <c r="E52" i="58"/>
  <c r="E53" i="58"/>
  <c r="E54" i="58"/>
  <c r="E55" i="58"/>
  <c r="E56" i="58"/>
  <c r="E57" i="58"/>
  <c r="E46" i="58"/>
  <c r="AF85" i="58"/>
  <c r="AF112" i="58"/>
  <c r="AF116" i="58"/>
  <c r="AF120" i="58"/>
  <c r="AF126" i="58"/>
  <c r="AF133" i="58"/>
  <c r="D109" i="58"/>
  <c r="F109" i="58"/>
  <c r="G109" i="58"/>
  <c r="I109" i="58"/>
  <c r="J109" i="58"/>
  <c r="L109" i="58"/>
  <c r="M109" i="58"/>
  <c r="O109" i="58"/>
  <c r="P109" i="58"/>
  <c r="R109" i="58"/>
  <c r="S109" i="58"/>
  <c r="U109" i="58"/>
  <c r="V109" i="58"/>
  <c r="X109" i="58"/>
  <c r="Y109" i="58"/>
  <c r="AA109" i="58"/>
  <c r="AB109" i="58"/>
  <c r="C109" i="58"/>
  <c r="AG120" i="58"/>
  <c r="T77" i="58"/>
  <c r="D77" i="58"/>
  <c r="F77" i="58"/>
  <c r="G77" i="58"/>
  <c r="I77" i="58"/>
  <c r="J77" i="58"/>
  <c r="L77" i="58"/>
  <c r="M77" i="58"/>
  <c r="O77" i="58"/>
  <c r="P77" i="58"/>
  <c r="R77" i="58"/>
  <c r="S77" i="58"/>
  <c r="U77" i="58"/>
  <c r="V77" i="58"/>
  <c r="X77" i="58"/>
  <c r="Y77" i="58"/>
  <c r="AA77" i="58"/>
  <c r="AB77" i="58"/>
  <c r="C77" i="58"/>
  <c r="Q77" i="58"/>
  <c r="AC77" i="58"/>
  <c r="E109" i="58"/>
  <c r="Q109" i="58"/>
  <c r="AC109" i="58"/>
  <c r="Z109" i="58"/>
  <c r="W109" i="58"/>
  <c r="T109" i="58"/>
  <c r="K109" i="58"/>
  <c r="H109" i="58"/>
  <c r="N109" i="58"/>
  <c r="Z77" i="58"/>
  <c r="W77" i="58"/>
  <c r="H77" i="58"/>
  <c r="N77" i="58"/>
  <c r="K77" i="58"/>
  <c r="E77" i="58"/>
  <c r="AE47" i="58"/>
  <c r="AE48" i="58"/>
  <c r="AE49" i="58"/>
  <c r="AE50" i="58"/>
  <c r="AE51" i="58"/>
  <c r="AE52" i="58"/>
  <c r="AE53" i="58"/>
  <c r="AE54" i="58"/>
  <c r="AE55" i="58"/>
  <c r="AE56" i="58"/>
  <c r="AE57" i="58"/>
  <c r="AE58" i="58"/>
  <c r="AE46" i="58"/>
  <c r="AD47" i="58"/>
  <c r="AD48" i="58"/>
  <c r="AF48" i="58"/>
  <c r="AD49" i="58"/>
  <c r="AD50" i="58"/>
  <c r="AD51" i="58"/>
  <c r="AD52" i="58"/>
  <c r="AF52" i="58"/>
  <c r="AD53" i="58"/>
  <c r="AD54" i="58"/>
  <c r="AD55" i="58"/>
  <c r="AD56" i="58"/>
  <c r="AF56" i="58"/>
  <c r="AD57" i="58"/>
  <c r="AD58" i="58"/>
  <c r="AD46" i="58"/>
  <c r="G45" i="58"/>
  <c r="G44" i="58"/>
  <c r="H45" i="58"/>
  <c r="H44" i="58"/>
  <c r="I45" i="58"/>
  <c r="I44" i="58"/>
  <c r="J45" i="58"/>
  <c r="J44" i="58"/>
  <c r="K45" i="58"/>
  <c r="K44" i="58"/>
  <c r="L45" i="58"/>
  <c r="L44" i="58"/>
  <c r="M45" i="58"/>
  <c r="M44" i="58"/>
  <c r="N45" i="58"/>
  <c r="N44" i="58"/>
  <c r="O45" i="58"/>
  <c r="O44" i="58"/>
  <c r="P45" i="58"/>
  <c r="P44" i="58"/>
  <c r="Q45" i="58"/>
  <c r="Q44" i="58"/>
  <c r="R45" i="58"/>
  <c r="R44" i="58"/>
  <c r="S45" i="58"/>
  <c r="S44" i="58"/>
  <c r="T45" i="58"/>
  <c r="T44" i="58"/>
  <c r="U45" i="58"/>
  <c r="U44" i="58"/>
  <c r="V45" i="58"/>
  <c r="V44" i="58"/>
  <c r="W45" i="58"/>
  <c r="W44" i="58"/>
  <c r="X45" i="58"/>
  <c r="X44" i="58"/>
  <c r="Y45" i="58"/>
  <c r="Y44" i="58"/>
  <c r="Z45" i="58"/>
  <c r="Z44" i="58"/>
  <c r="AA45" i="58"/>
  <c r="AA44" i="58"/>
  <c r="AB45" i="58"/>
  <c r="AB44" i="58"/>
  <c r="AC45" i="58"/>
  <c r="AC44" i="58"/>
  <c r="F45" i="58"/>
  <c r="F44" i="58"/>
  <c r="E45" i="58"/>
  <c r="E44" i="58"/>
  <c r="D45" i="58"/>
  <c r="D44" i="58"/>
  <c r="C45" i="58"/>
  <c r="C44" i="58"/>
  <c r="E24" i="58"/>
  <c r="E23" i="58"/>
  <c r="E14" i="58"/>
  <c r="E13" i="58"/>
  <c r="E12" i="58"/>
  <c r="E4" i="58"/>
  <c r="C64" i="48"/>
  <c r="AF46" i="58"/>
  <c r="AF55" i="58"/>
  <c r="AF51" i="58"/>
  <c r="AF47" i="58"/>
  <c r="AF58" i="58"/>
  <c r="AF54" i="58"/>
  <c r="AF50" i="58"/>
  <c r="AF57" i="58"/>
  <c r="AF53" i="58"/>
  <c r="AF49" i="58"/>
  <c r="AD45" i="58"/>
  <c r="AE45" i="58"/>
  <c r="AE44" i="58"/>
  <c r="F8" i="35"/>
  <c r="H10" i="35"/>
  <c r="AD44" i="58"/>
  <c r="AF45" i="58"/>
  <c r="AF44" i="58"/>
  <c r="G24" i="48"/>
  <c r="G42" i="48"/>
  <c r="I24" i="48"/>
  <c r="I42" i="48"/>
  <c r="E21" i="58"/>
  <c r="E22" i="58"/>
  <c r="F40" i="48"/>
  <c r="C7" i="38"/>
  <c r="I49" i="48"/>
  <c r="I41" i="48"/>
  <c r="H41" i="48"/>
  <c r="I28" i="48"/>
  <c r="H28" i="48"/>
  <c r="I27" i="48"/>
  <c r="H27" i="48"/>
  <c r="I26" i="48"/>
  <c r="H26" i="48"/>
  <c r="G77" i="48"/>
  <c r="G76" i="48"/>
  <c r="I76" i="48"/>
  <c r="H76" i="48"/>
  <c r="G75" i="48"/>
  <c r="G74" i="48"/>
  <c r="G73" i="48"/>
  <c r="I73" i="48"/>
  <c r="H73" i="48"/>
  <c r="G72" i="48"/>
  <c r="F77" i="48"/>
  <c r="F76" i="48"/>
  <c r="F75" i="48"/>
  <c r="F74" i="48"/>
  <c r="F73" i="48"/>
  <c r="F72" i="48"/>
  <c r="D78" i="48"/>
  <c r="C78" i="48"/>
  <c r="G53" i="48"/>
  <c r="G52" i="48"/>
  <c r="G50" i="48"/>
  <c r="G49" i="48"/>
  <c r="G45" i="48"/>
  <c r="G41" i="48"/>
  <c r="G39" i="48"/>
  <c r="I39" i="48"/>
  <c r="H39" i="48"/>
  <c r="G38" i="48"/>
  <c r="I38" i="48"/>
  <c r="H38" i="48"/>
  <c r="G37" i="48"/>
  <c r="I37" i="48"/>
  <c r="H37" i="48"/>
  <c r="G36" i="48"/>
  <c r="I36" i="48"/>
  <c r="H36" i="48"/>
  <c r="G35" i="48"/>
  <c r="I35" i="48"/>
  <c r="H35" i="48"/>
  <c r="G34" i="48"/>
  <c r="I34" i="48"/>
  <c r="H34" i="48"/>
  <c r="G33" i="48"/>
  <c r="I33" i="48"/>
  <c r="H33" i="48"/>
  <c r="G32" i="48"/>
  <c r="I32" i="48"/>
  <c r="H32" i="48"/>
  <c r="G31" i="48"/>
  <c r="I31" i="48"/>
  <c r="H31" i="48"/>
  <c r="G30" i="48"/>
  <c r="I30" i="48"/>
  <c r="H30" i="48"/>
  <c r="G29" i="48"/>
  <c r="I29" i="48"/>
  <c r="H29" i="48"/>
  <c r="G28" i="48"/>
  <c r="G27" i="48"/>
  <c r="G26" i="48"/>
  <c r="G23" i="48"/>
  <c r="I23" i="48"/>
  <c r="H23" i="48"/>
  <c r="F52" i="48"/>
  <c r="F50" i="48"/>
  <c r="F49" i="48"/>
  <c r="F48" i="48"/>
  <c r="F47" i="48"/>
  <c r="F45" i="48"/>
  <c r="F43" i="48"/>
  <c r="F42" i="48"/>
  <c r="F41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4" i="48"/>
  <c r="F23" i="48"/>
  <c r="G16" i="48"/>
  <c r="G15" i="48"/>
  <c r="F16" i="48"/>
  <c r="F15" i="48"/>
  <c r="G51" i="48"/>
  <c r="F46" i="48"/>
  <c r="F78" i="48"/>
  <c r="G78" i="48"/>
  <c r="F22" i="48"/>
  <c r="F21" i="48"/>
  <c r="I78" i="48"/>
  <c r="G77" i="35"/>
  <c r="I40" i="48"/>
  <c r="H40" i="48"/>
  <c r="H78" i="48"/>
  <c r="C34" i="58"/>
  <c r="E34" i="58"/>
  <c r="B2" i="26"/>
  <c r="G40" i="48"/>
  <c r="G43" i="48"/>
  <c r="I43" i="48"/>
  <c r="H43" i="48"/>
  <c r="G22" i="48"/>
  <c r="D10" i="35"/>
  <c r="E10" i="35"/>
  <c r="G21" i="48"/>
  <c r="G47" i="48"/>
  <c r="I47" i="48"/>
  <c r="H47" i="48"/>
  <c r="G48" i="48"/>
  <c r="I48" i="48"/>
  <c r="H48" i="48"/>
  <c r="B22" i="9"/>
  <c r="B21" i="9"/>
  <c r="G46" i="48"/>
  <c r="I46" i="48"/>
  <c r="D20" i="9"/>
  <c r="D21" i="9"/>
  <c r="D22" i="9"/>
  <c r="F12" i="30"/>
  <c r="D51" i="48"/>
  <c r="C46" i="48"/>
  <c r="C17" i="48"/>
  <c r="C14" i="48"/>
  <c r="C6" i="48"/>
  <c r="C51" i="48"/>
  <c r="F53" i="48"/>
  <c r="F51" i="48"/>
  <c r="C65" i="48"/>
  <c r="C58" i="48"/>
  <c r="D58" i="48"/>
  <c r="D64" i="48"/>
  <c r="C66" i="48"/>
  <c r="C22" i="48"/>
  <c r="C21" i="48"/>
  <c r="C55" i="48"/>
  <c r="C4" i="17"/>
  <c r="C5" i="17"/>
  <c r="C6" i="17"/>
  <c r="C7" i="17"/>
  <c r="C9" i="17"/>
  <c r="C14" i="17"/>
  <c r="C8" i="17"/>
  <c r="D46" i="48"/>
  <c r="H46" i="48"/>
  <c r="D20" i="48"/>
  <c r="D17" i="48"/>
  <c r="C3" i="17"/>
  <c r="D14" i="48"/>
  <c r="D6" i="48"/>
  <c r="D21" i="48"/>
  <c r="D55" i="48"/>
  <c r="D65" i="48"/>
  <c r="C67" i="48"/>
  <c r="C12" i="17"/>
  <c r="C10" i="17"/>
  <c r="D66" i="48"/>
  <c r="D67" i="48"/>
  <c r="C11" i="17"/>
  <c r="C13" i="17"/>
  <c r="P18" i="35"/>
  <c r="D18" i="35"/>
  <c r="Q18" i="35"/>
  <c r="E18" i="35"/>
  <c r="R18" i="35"/>
  <c r="F18" i="35"/>
  <c r="S18" i="35"/>
  <c r="G18" i="35"/>
  <c r="T18" i="35"/>
  <c r="H18" i="35"/>
  <c r="U18" i="35"/>
  <c r="I18" i="35"/>
  <c r="V18" i="35"/>
  <c r="J18" i="35"/>
  <c r="W18" i="35"/>
  <c r="K18" i="35"/>
  <c r="X18" i="35"/>
  <c r="L18" i="35"/>
  <c r="X17" i="35"/>
  <c r="L17" i="35"/>
  <c r="W17" i="35"/>
  <c r="K17" i="35"/>
  <c r="V17" i="35"/>
  <c r="J17" i="35"/>
  <c r="U17" i="35"/>
  <c r="I17" i="35"/>
  <c r="T17" i="35"/>
  <c r="H17" i="35"/>
  <c r="S17" i="35"/>
  <c r="G17" i="35"/>
  <c r="R17" i="35"/>
  <c r="F17" i="35"/>
  <c r="Q17" i="35"/>
  <c r="E17" i="35"/>
  <c r="P17" i="35"/>
  <c r="D17" i="35"/>
  <c r="C15" i="17"/>
  <c r="H8" i="35"/>
  <c r="G8" i="35"/>
  <c r="D30" i="9"/>
  <c r="D29" i="9"/>
  <c r="C24" i="9"/>
  <c r="D29" i="58"/>
  <c r="E29" i="58"/>
  <c r="C29" i="58"/>
  <c r="C28" i="30"/>
  <c r="C1" i="35"/>
  <c r="D1" i="35"/>
  <c r="E1" i="35"/>
  <c r="F1" i="35"/>
  <c r="L1" i="35"/>
  <c r="K1" i="35"/>
  <c r="J1" i="35"/>
  <c r="I1" i="35"/>
  <c r="H1" i="35"/>
  <c r="G1" i="35"/>
  <c r="M17" i="35"/>
  <c r="M14" i="35"/>
  <c r="N14" i="35"/>
  <c r="N69" i="35"/>
  <c r="M18" i="35"/>
  <c r="D3" i="17"/>
  <c r="D4" i="17"/>
  <c r="D5" i="17"/>
  <c r="D6" i="17"/>
  <c r="D7" i="17"/>
  <c r="D9" i="17"/>
  <c r="D10" i="17"/>
  <c r="D12" i="17"/>
  <c r="D14" i="17"/>
  <c r="D1" i="17"/>
  <c r="C1" i="17"/>
  <c r="N18" i="35"/>
  <c r="N73" i="35"/>
  <c r="N17" i="35"/>
  <c r="N72" i="35"/>
  <c r="E4" i="17"/>
  <c r="E12" i="17"/>
  <c r="E6" i="17"/>
  <c r="E10" i="17"/>
  <c r="E5" i="17"/>
  <c r="E9" i="17"/>
  <c r="E7" i="17"/>
  <c r="E3" i="17"/>
  <c r="E14" i="17"/>
  <c r="D8" i="17"/>
  <c r="E8" i="17"/>
  <c r="D11" i="17"/>
  <c r="E11" i="17"/>
  <c r="D13" i="17"/>
  <c r="E13" i="17"/>
  <c r="D15" i="17"/>
  <c r="H12" i="35"/>
  <c r="H11" i="35"/>
  <c r="D12" i="35"/>
  <c r="E12" i="35"/>
  <c r="D11" i="35"/>
  <c r="E11" i="35"/>
  <c r="H80" i="35"/>
  <c r="H77" i="35"/>
  <c r="C76" i="35"/>
  <c r="C75" i="35"/>
  <c r="C31" i="35"/>
  <c r="C69" i="35"/>
  <c r="L64" i="35"/>
  <c r="K64" i="35"/>
  <c r="J64" i="35"/>
  <c r="H21" i="35"/>
  <c r="M21" i="35"/>
  <c r="N21" i="35"/>
  <c r="N76" i="35"/>
  <c r="H20" i="35"/>
  <c r="G20" i="35"/>
  <c r="M20" i="35"/>
  <c r="N20" i="35"/>
  <c r="N75" i="35"/>
  <c r="H19" i="35"/>
  <c r="G19" i="35"/>
  <c r="M19" i="35"/>
  <c r="N19" i="35"/>
  <c r="N74" i="35"/>
  <c r="L16" i="35"/>
  <c r="K16" i="35"/>
  <c r="J16" i="35"/>
  <c r="I16" i="35"/>
  <c r="G16" i="35"/>
  <c r="G15" i="35"/>
  <c r="F16" i="35"/>
  <c r="E16" i="35"/>
  <c r="E15" i="35"/>
  <c r="D16" i="35"/>
  <c r="C15" i="35"/>
  <c r="H13" i="35"/>
  <c r="G13" i="35"/>
  <c r="L12" i="35"/>
  <c r="K12" i="35"/>
  <c r="J12" i="35"/>
  <c r="I12" i="35"/>
  <c r="G12" i="35"/>
  <c r="F12" i="35"/>
  <c r="L11" i="35"/>
  <c r="K11" i="35"/>
  <c r="J11" i="35"/>
  <c r="I11" i="35"/>
  <c r="G11" i="35"/>
  <c r="F11" i="35"/>
  <c r="L10" i="35"/>
  <c r="K10" i="35"/>
  <c r="J10" i="35"/>
  <c r="I10" i="35"/>
  <c r="G10" i="35"/>
  <c r="F10" i="35"/>
  <c r="H9" i="35"/>
  <c r="G9" i="35"/>
  <c r="F9" i="35"/>
  <c r="E9" i="35"/>
  <c r="E8" i="35"/>
  <c r="D8" i="35"/>
  <c r="C8" i="35"/>
  <c r="D88" i="35"/>
  <c r="C88" i="35"/>
  <c r="G83" i="35"/>
  <c r="F83" i="35"/>
  <c r="E83" i="35"/>
  <c r="D83" i="35"/>
  <c r="C83" i="35"/>
  <c r="G79" i="35"/>
  <c r="F79" i="35"/>
  <c r="E79" i="35"/>
  <c r="D79" i="35"/>
  <c r="C79" i="35"/>
  <c r="C38" i="35"/>
  <c r="D76" i="35"/>
  <c r="C37" i="35"/>
  <c r="D75" i="35"/>
  <c r="C36" i="35"/>
  <c r="D74" i="35"/>
  <c r="C35" i="35"/>
  <c r="D35" i="35"/>
  <c r="C34" i="35"/>
  <c r="D72" i="35"/>
  <c r="C33" i="35"/>
  <c r="C71" i="35"/>
  <c r="D69" i="35"/>
  <c r="C30" i="35"/>
  <c r="D68" i="35"/>
  <c r="C29" i="35"/>
  <c r="C67" i="35"/>
  <c r="C28" i="35"/>
  <c r="C66" i="35"/>
  <c r="C27" i="35"/>
  <c r="C65" i="35"/>
  <c r="C26" i="35"/>
  <c r="C64" i="35"/>
  <c r="K6" i="35"/>
  <c r="J6" i="35"/>
  <c r="I6" i="35"/>
  <c r="G2" i="35"/>
  <c r="F2" i="35"/>
  <c r="E2" i="35"/>
  <c r="D2" i="35"/>
  <c r="C2" i="35"/>
  <c r="M13" i="35"/>
  <c r="N13" i="35"/>
  <c r="N68" i="35"/>
  <c r="C7" i="35"/>
  <c r="M8" i="35"/>
  <c r="N8" i="35"/>
  <c r="N63" i="35"/>
  <c r="M9" i="35"/>
  <c r="N9" i="35"/>
  <c r="N64" i="35"/>
  <c r="M10" i="35"/>
  <c r="N10" i="35"/>
  <c r="N65" i="35"/>
  <c r="M11" i="35"/>
  <c r="N11" i="35"/>
  <c r="N66" i="35"/>
  <c r="D67" i="35"/>
  <c r="M12" i="35"/>
  <c r="N12" i="35"/>
  <c r="N67" i="35"/>
  <c r="D31" i="35"/>
  <c r="E69" i="35"/>
  <c r="C32" i="35"/>
  <c r="C70" i="35"/>
  <c r="C68" i="35"/>
  <c r="C72" i="35"/>
  <c r="C51" i="35"/>
  <c r="D27" i="35"/>
  <c r="E27" i="35"/>
  <c r="F65" i="35"/>
  <c r="D71" i="35"/>
  <c r="D64" i="35"/>
  <c r="C73" i="35"/>
  <c r="C52" i="35"/>
  <c r="C74" i="35"/>
  <c r="C53" i="35"/>
  <c r="D53" i="35"/>
  <c r="D66" i="35"/>
  <c r="D36" i="35"/>
  <c r="D38" i="35"/>
  <c r="E76" i="35"/>
  <c r="E7" i="35"/>
  <c r="E3" i="35"/>
  <c r="F7" i="35"/>
  <c r="I3" i="35"/>
  <c r="K3" i="35"/>
  <c r="J3" i="35"/>
  <c r="E73" i="35"/>
  <c r="G7" i="35"/>
  <c r="D73" i="35"/>
  <c r="D65" i="35"/>
  <c r="D7" i="35"/>
  <c r="H7" i="35"/>
  <c r="D29" i="35"/>
  <c r="E67" i="35"/>
  <c r="D15" i="35"/>
  <c r="D70" i="35"/>
  <c r="C62" i="35"/>
  <c r="C6" i="35"/>
  <c r="I77" i="35"/>
  <c r="J77" i="35"/>
  <c r="K77" i="35"/>
  <c r="L77" i="35"/>
  <c r="C25" i="35"/>
  <c r="H16" i="35"/>
  <c r="H15" i="35"/>
  <c r="D26" i="35"/>
  <c r="E64" i="35"/>
  <c r="C47" i="35"/>
  <c r="D30" i="35"/>
  <c r="E68" i="35"/>
  <c r="C45" i="35"/>
  <c r="D28" i="35"/>
  <c r="E66" i="35"/>
  <c r="E35" i="35"/>
  <c r="F73" i="35"/>
  <c r="C24" i="35"/>
  <c r="D34" i="35"/>
  <c r="E72" i="35"/>
  <c r="C54" i="35"/>
  <c r="D37" i="35"/>
  <c r="E75" i="35"/>
  <c r="C43" i="35"/>
  <c r="D33" i="35"/>
  <c r="E71" i="35"/>
  <c r="E31" i="35"/>
  <c r="F69" i="35"/>
  <c r="C55" i="35"/>
  <c r="C44" i="35"/>
  <c r="C46" i="35"/>
  <c r="C48" i="35"/>
  <c r="D48" i="35"/>
  <c r="E48" i="35"/>
  <c r="C50" i="35"/>
  <c r="D55" i="35"/>
  <c r="E38" i="35"/>
  <c r="F76" i="35"/>
  <c r="M16" i="35"/>
  <c r="D43" i="35"/>
  <c r="E43" i="35"/>
  <c r="C49" i="35"/>
  <c r="D49" i="35"/>
  <c r="C3" i="35"/>
  <c r="M7" i="35"/>
  <c r="N7" i="35"/>
  <c r="E65" i="35"/>
  <c r="D3" i="35"/>
  <c r="D45" i="35"/>
  <c r="E45" i="35"/>
  <c r="G6" i="35"/>
  <c r="G3" i="35"/>
  <c r="E6" i="35"/>
  <c r="E36" i="35"/>
  <c r="E74" i="35"/>
  <c r="E53" i="35"/>
  <c r="D32" i="35"/>
  <c r="E70" i="35"/>
  <c r="D52" i="35"/>
  <c r="E52" i="35"/>
  <c r="F52" i="35"/>
  <c r="D6" i="35"/>
  <c r="D62" i="35"/>
  <c r="D58" i="35"/>
  <c r="D60" i="35"/>
  <c r="E29" i="35"/>
  <c r="F67" i="35"/>
  <c r="H6" i="35"/>
  <c r="D44" i="35"/>
  <c r="H3" i="35"/>
  <c r="D63" i="35"/>
  <c r="C63" i="35"/>
  <c r="C42" i="35"/>
  <c r="D25" i="35"/>
  <c r="E63" i="35"/>
  <c r="F48" i="35"/>
  <c r="F31" i="35"/>
  <c r="G69" i="35"/>
  <c r="E33" i="35"/>
  <c r="F71" i="35"/>
  <c r="E25" i="35"/>
  <c r="F63" i="35"/>
  <c r="F27" i="35"/>
  <c r="G65" i="35"/>
  <c r="D54" i="35"/>
  <c r="E54" i="35"/>
  <c r="E34" i="35"/>
  <c r="F72" i="35"/>
  <c r="C41" i="35"/>
  <c r="D24" i="35"/>
  <c r="E62" i="35"/>
  <c r="C23" i="35"/>
  <c r="E30" i="35"/>
  <c r="F68" i="35"/>
  <c r="E26" i="35"/>
  <c r="F64" i="35"/>
  <c r="D50" i="35"/>
  <c r="E50" i="35"/>
  <c r="D46" i="35"/>
  <c r="E46" i="35"/>
  <c r="C58" i="35"/>
  <c r="D51" i="35"/>
  <c r="E51" i="35"/>
  <c r="F35" i="35"/>
  <c r="G73" i="35"/>
  <c r="D47" i="35"/>
  <c r="E55" i="35"/>
  <c r="F38" i="35"/>
  <c r="G76" i="35"/>
  <c r="E37" i="35"/>
  <c r="F75" i="35"/>
  <c r="E28" i="35"/>
  <c r="F66" i="35"/>
  <c r="N16" i="35"/>
  <c r="N71" i="35"/>
  <c r="E44" i="35"/>
  <c r="F44" i="35"/>
  <c r="N62" i="35"/>
  <c r="C4" i="35"/>
  <c r="D4" i="35"/>
  <c r="E4" i="35"/>
  <c r="E32" i="35"/>
  <c r="E49" i="35"/>
  <c r="F74" i="35"/>
  <c r="F53" i="35"/>
  <c r="F36" i="35"/>
  <c r="F46" i="35"/>
  <c r="F29" i="35"/>
  <c r="G67" i="35"/>
  <c r="D42" i="35"/>
  <c r="E42" i="35"/>
  <c r="F42" i="35"/>
  <c r="F43" i="35"/>
  <c r="G35" i="35"/>
  <c r="H73" i="35"/>
  <c r="F30" i="35"/>
  <c r="G68" i="35"/>
  <c r="C40" i="35"/>
  <c r="D41" i="35"/>
  <c r="F33" i="35"/>
  <c r="G71" i="35"/>
  <c r="F50" i="35"/>
  <c r="F54" i="35"/>
  <c r="F37" i="35"/>
  <c r="G75" i="35"/>
  <c r="G48" i="35"/>
  <c r="E47" i="35"/>
  <c r="F47" i="35"/>
  <c r="C61" i="35"/>
  <c r="D61" i="35"/>
  <c r="C60" i="35"/>
  <c r="C5" i="35"/>
  <c r="D5" i="35"/>
  <c r="F26" i="35"/>
  <c r="G64" i="35"/>
  <c r="F51" i="35"/>
  <c r="F34" i="35"/>
  <c r="G72" i="35"/>
  <c r="G27" i="35"/>
  <c r="H65" i="35"/>
  <c r="G44" i="35"/>
  <c r="G52" i="35"/>
  <c r="F45" i="35"/>
  <c r="F28" i="35"/>
  <c r="G66" i="35"/>
  <c r="F55" i="35"/>
  <c r="G38" i="35"/>
  <c r="H76" i="35"/>
  <c r="E58" i="35"/>
  <c r="E60" i="35"/>
  <c r="E24" i="35"/>
  <c r="F62" i="35"/>
  <c r="D23" i="35"/>
  <c r="F25" i="35"/>
  <c r="G63" i="35"/>
  <c r="G31" i="35"/>
  <c r="H69" i="35"/>
  <c r="G17" i="9"/>
  <c r="E17" i="9"/>
  <c r="D17" i="9"/>
  <c r="G46" i="35"/>
  <c r="G74" i="35"/>
  <c r="G53" i="35"/>
  <c r="G36" i="35"/>
  <c r="G29" i="35"/>
  <c r="H67" i="35"/>
  <c r="G51" i="35"/>
  <c r="G54" i="35"/>
  <c r="G45" i="35"/>
  <c r="H38" i="35"/>
  <c r="I76" i="35"/>
  <c r="G55" i="35"/>
  <c r="H52" i="35"/>
  <c r="G25" i="35"/>
  <c r="H63" i="35"/>
  <c r="G42" i="35"/>
  <c r="G26" i="35"/>
  <c r="H64" i="35"/>
  <c r="E61" i="35"/>
  <c r="G37" i="35"/>
  <c r="H75" i="35"/>
  <c r="G33" i="35"/>
  <c r="H71" i="35"/>
  <c r="G50" i="35"/>
  <c r="G30" i="35"/>
  <c r="H68" i="35"/>
  <c r="G43" i="35"/>
  <c r="H29" i="35"/>
  <c r="I67" i="35"/>
  <c r="G28" i="35"/>
  <c r="H66" i="35"/>
  <c r="H27" i="35"/>
  <c r="I65" i="35"/>
  <c r="G47" i="35"/>
  <c r="H31" i="35"/>
  <c r="I69" i="35"/>
  <c r="F24" i="35"/>
  <c r="G62" i="35"/>
  <c r="E23" i="35"/>
  <c r="G34" i="35"/>
  <c r="H72" i="35"/>
  <c r="E5" i="35"/>
  <c r="D40" i="35"/>
  <c r="E41" i="35"/>
  <c r="H35" i="35"/>
  <c r="I73" i="35"/>
  <c r="H74" i="35"/>
  <c r="H53" i="35"/>
  <c r="H36" i="35"/>
  <c r="H48" i="35"/>
  <c r="I48" i="35"/>
  <c r="I52" i="35"/>
  <c r="I35" i="35"/>
  <c r="J73" i="35"/>
  <c r="E40" i="35"/>
  <c r="F41" i="35"/>
  <c r="G24" i="35"/>
  <c r="H62" i="35"/>
  <c r="H33" i="35"/>
  <c r="I71" i="35"/>
  <c r="H25" i="35"/>
  <c r="I63" i="35"/>
  <c r="H54" i="35"/>
  <c r="H34" i="35"/>
  <c r="I72" i="35"/>
  <c r="H28" i="35"/>
  <c r="I66" i="35"/>
  <c r="H30" i="35"/>
  <c r="I68" i="35"/>
  <c r="H37" i="35"/>
  <c r="I75" i="35"/>
  <c r="H26" i="35"/>
  <c r="I64" i="35"/>
  <c r="H55" i="35"/>
  <c r="I38" i="35"/>
  <c r="J76" i="35"/>
  <c r="H44" i="35"/>
  <c r="I31" i="35"/>
  <c r="J69" i="35"/>
  <c r="I27" i="35"/>
  <c r="J65" i="35"/>
  <c r="I29" i="35"/>
  <c r="J67" i="35"/>
  <c r="H46" i="35"/>
  <c r="I46" i="35"/>
  <c r="I74" i="35"/>
  <c r="I53" i="35"/>
  <c r="I36" i="35"/>
  <c r="J27" i="35"/>
  <c r="K65" i="35"/>
  <c r="I55" i="35"/>
  <c r="J38" i="35"/>
  <c r="K76" i="35"/>
  <c r="I34" i="35"/>
  <c r="J72" i="35"/>
  <c r="I54" i="35"/>
  <c r="I33" i="35"/>
  <c r="J71" i="35"/>
  <c r="H24" i="35"/>
  <c r="I62" i="35"/>
  <c r="J35" i="35"/>
  <c r="K73" i="35"/>
  <c r="J52" i="35"/>
  <c r="I37" i="35"/>
  <c r="J75" i="35"/>
  <c r="I28" i="35"/>
  <c r="J66" i="35"/>
  <c r="I25" i="35"/>
  <c r="J63" i="35"/>
  <c r="J29" i="35"/>
  <c r="K67" i="35"/>
  <c r="J48" i="35"/>
  <c r="J31" i="35"/>
  <c r="K69" i="35"/>
  <c r="H51" i="35"/>
  <c r="I51" i="35"/>
  <c r="H43" i="35"/>
  <c r="I43" i="35"/>
  <c r="J43" i="35"/>
  <c r="K43" i="35"/>
  <c r="L43" i="35"/>
  <c r="G41" i="35"/>
  <c r="H50" i="35"/>
  <c r="I50" i="35"/>
  <c r="J46" i="35"/>
  <c r="I44" i="35"/>
  <c r="J44" i="35"/>
  <c r="I30" i="35"/>
  <c r="J68" i="35"/>
  <c r="H47" i="35"/>
  <c r="H45" i="35"/>
  <c r="H42" i="35"/>
  <c r="I42" i="35"/>
  <c r="J74" i="35"/>
  <c r="J53" i="35"/>
  <c r="J36" i="35"/>
  <c r="B3" i="35"/>
  <c r="B8" i="35"/>
  <c r="B15" i="35"/>
  <c r="B24" i="35"/>
  <c r="B31" i="35"/>
  <c r="B40" i="35"/>
  <c r="B47" i="35"/>
  <c r="B54" i="35"/>
  <c r="B62" i="35"/>
  <c r="B69" i="35"/>
  <c r="B79" i="35"/>
  <c r="B70" i="35"/>
  <c r="B80" i="35"/>
  <c r="B7" i="35"/>
  <c r="B14" i="35"/>
  <c r="B37" i="35"/>
  <c r="B53" i="35"/>
  <c r="B75" i="35"/>
  <c r="B4" i="35"/>
  <c r="B9" i="35"/>
  <c r="B19" i="35"/>
  <c r="B25" i="35"/>
  <c r="B32" i="35"/>
  <c r="B41" i="35"/>
  <c r="B48" i="35"/>
  <c r="B58" i="35"/>
  <c r="B63" i="35"/>
  <c r="B30" i="35"/>
  <c r="B68" i="35"/>
  <c r="B5" i="35"/>
  <c r="B13" i="35"/>
  <c r="B20" i="35"/>
  <c r="B26" i="35"/>
  <c r="B36" i="35"/>
  <c r="B42" i="35"/>
  <c r="B49" i="35"/>
  <c r="B59" i="35"/>
  <c r="B64" i="35"/>
  <c r="B74" i="35"/>
  <c r="B2" i="35"/>
  <c r="B23" i="35"/>
  <c r="B43" i="35"/>
  <c r="B61" i="35"/>
  <c r="J42" i="35"/>
  <c r="J25" i="35"/>
  <c r="K63" i="35"/>
  <c r="J28" i="35"/>
  <c r="K66" i="35"/>
  <c r="K52" i="35"/>
  <c r="K38" i="35"/>
  <c r="L76" i="35"/>
  <c r="J55" i="35"/>
  <c r="K29" i="35"/>
  <c r="L67" i="35"/>
  <c r="K35" i="35"/>
  <c r="L73" i="35"/>
  <c r="J34" i="35"/>
  <c r="K72" i="35"/>
  <c r="I45" i="35"/>
  <c r="J45" i="35"/>
  <c r="I47" i="35"/>
  <c r="K46" i="35"/>
  <c r="H41" i="35"/>
  <c r="J51" i="35"/>
  <c r="J54" i="35"/>
  <c r="J37" i="35"/>
  <c r="K75" i="35"/>
  <c r="J33" i="35"/>
  <c r="K71" i="35"/>
  <c r="K27" i="35"/>
  <c r="L65" i="35"/>
  <c r="K44" i="35"/>
  <c r="J30" i="35"/>
  <c r="K68" i="35"/>
  <c r="J50" i="35"/>
  <c r="K31" i="35"/>
  <c r="L69" i="35"/>
  <c r="K48" i="35"/>
  <c r="I24" i="35"/>
  <c r="J62" i="35"/>
  <c r="K74" i="35"/>
  <c r="K53" i="35"/>
  <c r="K36" i="35"/>
  <c r="L52" i="35"/>
  <c r="J47" i="35"/>
  <c r="L35" i="35"/>
  <c r="L46" i="35"/>
  <c r="L29" i="35"/>
  <c r="L48" i="35"/>
  <c r="L31" i="35"/>
  <c r="L44" i="35"/>
  <c r="L27" i="35"/>
  <c r="K45" i="35"/>
  <c r="J24" i="35"/>
  <c r="K62" i="35"/>
  <c r="K50" i="35"/>
  <c r="K33" i="35"/>
  <c r="L71" i="35"/>
  <c r="K54" i="35"/>
  <c r="K37" i="35"/>
  <c r="L75" i="35"/>
  <c r="I41" i="35"/>
  <c r="K51" i="35"/>
  <c r="K34" i="35"/>
  <c r="L72" i="35"/>
  <c r="K55" i="35"/>
  <c r="L38" i="35"/>
  <c r="L55" i="35"/>
  <c r="K28" i="35"/>
  <c r="L66" i="35"/>
  <c r="K30" i="35"/>
  <c r="L68" i="35"/>
  <c r="K42" i="35"/>
  <c r="K25" i="35"/>
  <c r="L63" i="35"/>
  <c r="L74" i="35"/>
  <c r="L36" i="35"/>
  <c r="L51" i="35"/>
  <c r="L34" i="35"/>
  <c r="L54" i="35"/>
  <c r="L37" i="35"/>
  <c r="K47" i="35"/>
  <c r="L47" i="35"/>
  <c r="J41" i="35"/>
  <c r="K24" i="35"/>
  <c r="L42" i="35"/>
  <c r="L25" i="35"/>
  <c r="L45" i="35"/>
  <c r="L28" i="35"/>
  <c r="L30" i="35"/>
  <c r="L50" i="35"/>
  <c r="L33" i="35"/>
  <c r="L53" i="35"/>
  <c r="K41" i="35"/>
  <c r="B1" i="30"/>
  <c r="G10" i="9"/>
  <c r="E10" i="9"/>
  <c r="L10" i="9"/>
  <c r="D10" i="9"/>
  <c r="E5" i="9"/>
  <c r="G5" i="9"/>
  <c r="F14" i="17"/>
  <c r="C22" i="30"/>
  <c r="F10" i="17"/>
  <c r="F4" i="17"/>
  <c r="G4" i="17"/>
  <c r="C18" i="30"/>
  <c r="K13" i="54"/>
  <c r="K20" i="54"/>
  <c r="J13" i="54"/>
  <c r="J20" i="54"/>
  <c r="I13" i="54"/>
  <c r="I20" i="54"/>
  <c r="H13" i="54"/>
  <c r="H20" i="54"/>
  <c r="K12" i="54"/>
  <c r="K19" i="54"/>
  <c r="J12" i="54"/>
  <c r="J19" i="54"/>
  <c r="I12" i="54"/>
  <c r="I19" i="54"/>
  <c r="H12" i="54"/>
  <c r="H19" i="54"/>
  <c r="K11" i="54"/>
  <c r="J11" i="54"/>
  <c r="J18" i="54"/>
  <c r="I11" i="54"/>
  <c r="I18" i="54"/>
  <c r="H11" i="54"/>
  <c r="K10" i="54"/>
  <c r="K17" i="54"/>
  <c r="J10" i="54"/>
  <c r="J17" i="54"/>
  <c r="I10" i="54"/>
  <c r="I17" i="54"/>
  <c r="H10" i="54"/>
  <c r="H17" i="54"/>
  <c r="G13" i="54"/>
  <c r="G20" i="54"/>
  <c r="G12" i="54"/>
  <c r="G11" i="54"/>
  <c r="G18" i="54"/>
  <c r="G10" i="54"/>
  <c r="G19" i="54"/>
  <c r="K18" i="54"/>
  <c r="H18" i="54"/>
  <c r="G17" i="54"/>
  <c r="D8" i="9"/>
  <c r="G14" i="9"/>
  <c r="E14" i="9"/>
  <c r="D14" i="9"/>
  <c r="F14" i="9"/>
  <c r="H14" i="9"/>
  <c r="G8" i="9"/>
  <c r="E8" i="9"/>
  <c r="G13" i="9"/>
  <c r="E13" i="9"/>
  <c r="E9" i="9"/>
  <c r="G9" i="9"/>
  <c r="F7" i="17"/>
  <c r="G7" i="17"/>
  <c r="C21" i="30"/>
  <c r="D13" i="9"/>
  <c r="F13" i="9"/>
  <c r="H13" i="9"/>
  <c r="D5" i="9"/>
  <c r="G6" i="9"/>
  <c r="G7" i="9"/>
  <c r="E6" i="9"/>
  <c r="D7" i="9"/>
  <c r="D6" i="9"/>
  <c r="E7" i="9"/>
  <c r="D9" i="9"/>
  <c r="D22" i="30"/>
  <c r="F8" i="17"/>
  <c r="G8" i="17"/>
  <c r="F12" i="17"/>
  <c r="G12" i="17"/>
  <c r="F11" i="17"/>
  <c r="F9" i="17"/>
  <c r="G9" i="17"/>
  <c r="E22" i="30"/>
  <c r="C25" i="30"/>
  <c r="F25" i="30"/>
  <c r="F5" i="17"/>
  <c r="F6" i="17"/>
  <c r="F3" i="17"/>
  <c r="G3" i="17"/>
  <c r="C35" i="54"/>
  <c r="F4" i="54"/>
  <c r="C30" i="58"/>
  <c r="C34" i="54"/>
  <c r="F3" i="54"/>
  <c r="C35" i="58"/>
  <c r="E36" i="58"/>
  <c r="F84" i="35"/>
  <c r="C36" i="58"/>
  <c r="C37" i="58"/>
  <c r="D36" i="58"/>
  <c r="D37" i="58"/>
  <c r="C31" i="58"/>
  <c r="C32" i="58"/>
  <c r="D31" i="58"/>
  <c r="D32" i="58"/>
  <c r="E31" i="58"/>
  <c r="F85" i="35"/>
  <c r="C26" i="54"/>
  <c r="C25" i="54"/>
  <c r="F22" i="30"/>
  <c r="F15" i="35"/>
  <c r="M15" i="35"/>
  <c r="N15" i="35"/>
  <c r="E32" i="58"/>
  <c r="E37" i="58"/>
  <c r="B4" i="55"/>
  <c r="G4" i="55"/>
  <c r="F4" i="55"/>
  <c r="E4" i="55"/>
  <c r="D4" i="55"/>
  <c r="C4" i="55"/>
  <c r="F3" i="35"/>
  <c r="F6" i="35"/>
  <c r="F70" i="35"/>
  <c r="F58" i="35"/>
  <c r="F32" i="35"/>
  <c r="H17" i="9"/>
  <c r="F17" i="9"/>
  <c r="H5" i="9"/>
  <c r="F60" i="35"/>
  <c r="F61" i="35"/>
  <c r="G70" i="35"/>
  <c r="G58" i="35"/>
  <c r="G60" i="35"/>
  <c r="G32" i="35"/>
  <c r="F23" i="35"/>
  <c r="F4" i="35"/>
  <c r="G4" i="35"/>
  <c r="H4" i="35"/>
  <c r="I4" i="35"/>
  <c r="J4" i="35"/>
  <c r="K4" i="35"/>
  <c r="F5" i="35"/>
  <c r="F49" i="35"/>
  <c r="N70" i="35"/>
  <c r="N3" i="35"/>
  <c r="E5" i="30"/>
  <c r="B30" i="30"/>
  <c r="D4" i="30"/>
  <c r="D5" i="30"/>
  <c r="E4" i="30"/>
  <c r="F10" i="9"/>
  <c r="D21" i="30"/>
  <c r="H10" i="9"/>
  <c r="E21" i="30"/>
  <c r="H70" i="35"/>
  <c r="H58" i="35"/>
  <c r="H60" i="35"/>
  <c r="H32" i="35"/>
  <c r="G23" i="35"/>
  <c r="G61" i="35"/>
  <c r="G5" i="35"/>
  <c r="M35" i="35"/>
  <c r="G49" i="35"/>
  <c r="F40" i="35"/>
  <c r="E23" i="30"/>
  <c r="E18" i="30"/>
  <c r="D23" i="30"/>
  <c r="D18" i="30"/>
  <c r="H61" i="35"/>
  <c r="P35" i="35"/>
  <c r="H5" i="35"/>
  <c r="I70" i="35"/>
  <c r="I58" i="35"/>
  <c r="I60" i="35"/>
  <c r="I32" i="35"/>
  <c r="H23" i="35"/>
  <c r="H49" i="35"/>
  <c r="G40" i="35"/>
  <c r="F5" i="9"/>
  <c r="I61" i="35"/>
  <c r="J70" i="35"/>
  <c r="J58" i="35"/>
  <c r="J60" i="35"/>
  <c r="J32" i="35"/>
  <c r="I23" i="35"/>
  <c r="I49" i="35"/>
  <c r="H40" i="35"/>
  <c r="I5" i="35"/>
  <c r="F13" i="17"/>
  <c r="F15" i="17"/>
  <c r="E15" i="17"/>
  <c r="J5" i="35"/>
  <c r="K70" i="35"/>
  <c r="K58" i="35"/>
  <c r="K60" i="35"/>
  <c r="K32" i="35"/>
  <c r="J23" i="35"/>
  <c r="J49" i="35"/>
  <c r="I40" i="35"/>
  <c r="J61" i="35"/>
  <c r="B99" i="38"/>
  <c r="B88" i="17"/>
  <c r="B75" i="15"/>
  <c r="K61" i="35"/>
  <c r="L70" i="35"/>
  <c r="L32" i="35"/>
  <c r="K23" i="35"/>
  <c r="K49" i="35"/>
  <c r="J40" i="35"/>
  <c r="K5" i="35"/>
  <c r="J33" i="30"/>
  <c r="B7" i="30"/>
  <c r="G5" i="30"/>
  <c r="H4" i="30"/>
  <c r="F3" i="30"/>
  <c r="B34" i="30"/>
  <c r="B15" i="30"/>
  <c r="H5" i="30"/>
  <c r="J4" i="30"/>
  <c r="G3" i="30"/>
  <c r="G2" i="30"/>
  <c r="B32" i="30"/>
  <c r="B27" i="30"/>
  <c r="B11" i="30"/>
  <c r="F4" i="30"/>
  <c r="H3" i="30"/>
  <c r="I2" i="30"/>
  <c r="J32" i="30"/>
  <c r="B29" i="30"/>
  <c r="B14" i="30"/>
  <c r="J5" i="30"/>
  <c r="F5" i="30"/>
  <c r="G4" i="30"/>
  <c r="C3" i="30"/>
  <c r="C9" i="15"/>
  <c r="C2" i="15"/>
  <c r="C5" i="15"/>
  <c r="B20" i="9"/>
  <c r="B19" i="9"/>
  <c r="D6" i="38"/>
  <c r="C6" i="38"/>
  <c r="D2" i="38"/>
  <c r="B7" i="38"/>
  <c r="B6" i="38"/>
  <c r="B4" i="38"/>
  <c r="B3" i="38"/>
  <c r="B2" i="38"/>
  <c r="B5" i="15"/>
  <c r="B9" i="15"/>
  <c r="B6" i="15"/>
  <c r="L49" i="35"/>
  <c r="K40" i="35"/>
  <c r="G6" i="17"/>
  <c r="C20" i="30"/>
  <c r="G5" i="17"/>
  <c r="G13" i="17"/>
  <c r="G15" i="17"/>
  <c r="C24" i="30"/>
  <c r="C17" i="30"/>
  <c r="C19" i="30"/>
  <c r="D17" i="30"/>
  <c r="E17" i="30"/>
  <c r="D24" i="30"/>
  <c r="E24" i="30"/>
  <c r="C27" i="54"/>
  <c r="D27" i="54"/>
  <c r="C29" i="54"/>
  <c r="C32" i="54"/>
  <c r="C30" i="54"/>
  <c r="D30" i="54"/>
  <c r="D26" i="54"/>
  <c r="D25" i="54"/>
  <c r="C28" i="54"/>
  <c r="D28" i="54"/>
  <c r="E3" i="38"/>
  <c r="G19" i="30"/>
  <c r="E7" i="38"/>
  <c r="E4" i="38"/>
  <c r="H19" i="30"/>
  <c r="D29" i="54"/>
  <c r="D32" i="54"/>
  <c r="C31" i="54"/>
  <c r="D31" i="54"/>
  <c r="F17" i="30"/>
  <c r="F18" i="30"/>
  <c r="F24" i="30"/>
  <c r="F23" i="30"/>
  <c r="F21" i="30"/>
  <c r="E8" i="38"/>
  <c r="E9" i="38"/>
  <c r="I19" i="30"/>
  <c r="J29" i="30"/>
  <c r="L6" i="35"/>
  <c r="L62" i="35"/>
  <c r="L41" i="35"/>
  <c r="L40" i="35"/>
  <c r="L3" i="35"/>
  <c r="M3" i="35"/>
  <c r="L24" i="35"/>
  <c r="L23" i="35"/>
  <c r="L58" i="35"/>
  <c r="N58" i="35"/>
  <c r="L4" i="35"/>
  <c r="L5" i="35"/>
  <c r="L60" i="35"/>
  <c r="L61" i="35"/>
  <c r="C11" i="30"/>
  <c r="C7" i="30"/>
  <c r="C12" i="30"/>
  <c r="D12" i="30"/>
  <c r="C13" i="30"/>
  <c r="C15" i="30"/>
  <c r="F15" i="30"/>
  <c r="C9" i="30"/>
  <c r="C14" i="30"/>
  <c r="F14" i="30"/>
  <c r="C8" i="30"/>
  <c r="C10" i="30"/>
  <c r="F10" i="30"/>
  <c r="D7" i="30"/>
  <c r="E7" i="30"/>
  <c r="D11" i="30"/>
  <c r="E11" i="30"/>
  <c r="F11" i="30"/>
  <c r="D8" i="30"/>
  <c r="E13" i="30"/>
  <c r="F13" i="30"/>
  <c r="E9" i="30"/>
  <c r="F9" i="30"/>
  <c r="F7" i="30"/>
  <c r="I22" i="48"/>
  <c r="I21" i="48"/>
  <c r="I55" i="48"/>
  <c r="I56" i="48"/>
  <c r="G11" i="17"/>
  <c r="C27" i="30"/>
  <c r="C34" i="30"/>
  <c r="D27" i="30"/>
  <c r="F28" i="30"/>
  <c r="F27" i="30"/>
  <c r="G27" i="30"/>
  <c r="G29" i="30"/>
  <c r="G32" i="30"/>
  <c r="I27" i="30"/>
  <c r="I29" i="30"/>
  <c r="I32" i="30"/>
  <c r="H27" i="30"/>
  <c r="H29" i="30"/>
  <c r="H32" i="30"/>
  <c r="E27" i="30"/>
  <c r="E28" i="30"/>
  <c r="D28" i="30"/>
  <c r="D29" i="30"/>
  <c r="F31" i="30"/>
  <c r="F29" i="30"/>
  <c r="E29" i="30"/>
  <c r="E31" i="30"/>
  <c r="D31" i="30"/>
  <c r="D32" i="30"/>
  <c r="C7" i="26"/>
  <c r="F32" i="30"/>
  <c r="E32" i="30"/>
  <c r="D7" i="26"/>
  <c r="E7" i="26"/>
</calcChain>
</file>

<file path=xl/comments1.xml><?xml version="1.0" encoding="utf-8"?>
<comments xmlns="http://schemas.openxmlformats.org/spreadsheetml/2006/main">
  <authors>
    <author>Ramona Briciu</author>
  </authors>
  <commentList>
    <comment ref="L21" authorId="0" shapeId="0">
      <text>
        <r>
          <rPr>
            <b/>
            <sz val="9"/>
            <color indexed="81"/>
            <rFont val="Tahoma"/>
            <family val="2"/>
          </rPr>
          <t>Ramona Briciu:</t>
        </r>
        <r>
          <rPr>
            <sz val="9"/>
            <color indexed="81"/>
            <rFont val="Tahoma"/>
            <family val="2"/>
          </rPr>
          <t xml:space="preserve">
Nims, wiz, firma</t>
        </r>
      </text>
    </comment>
  </commentList>
</comments>
</file>

<file path=xl/sharedStrings.xml><?xml version="1.0" encoding="utf-8"?>
<sst xmlns="http://schemas.openxmlformats.org/spreadsheetml/2006/main" count="699" uniqueCount="317">
  <si>
    <t>Left</t>
  </si>
  <si>
    <t>Top</t>
  </si>
  <si>
    <t>Right</t>
  </si>
  <si>
    <t>Bottom</t>
  </si>
  <si>
    <t>Ref</t>
  </si>
  <si>
    <t>$B$3:$H$7</t>
  </si>
  <si>
    <t>ROMANA</t>
  </si>
  <si>
    <t>Informațiile confidențiale (marcate cu portocaliu) au fost înlocuite cu valori ipotetice</t>
  </si>
  <si>
    <t>Foaia de lucru</t>
  </si>
  <si>
    <t>Celula</t>
  </si>
  <si>
    <t>Observatii</t>
  </si>
  <si>
    <t>1. CAPEX</t>
  </si>
  <si>
    <t>H10</t>
  </si>
  <si>
    <t>Corectie formula valoare lucrari civile 2013</t>
  </si>
  <si>
    <t>Capacitati 2017</t>
  </si>
  <si>
    <t>D21, D22</t>
  </si>
  <si>
    <t>corectie capacitate vanduta / racord conform cu raport RAK</t>
  </si>
  <si>
    <t>OPEX</t>
  </si>
  <si>
    <t>I23 - I76</t>
  </si>
  <si>
    <t>cheltuielile generale si de administratie au fost cele de la nivelul anului 2017, in loc de media aritmetica 2013-2017</t>
  </si>
  <si>
    <t>D34</t>
  </si>
  <si>
    <t>a fost eliminata ajustarea conductelor instalate in exces fata de cerere, pentru a tine cont de observatiile formulate referitoare la neutralitate</t>
  </si>
  <si>
    <t>G24</t>
  </si>
  <si>
    <t>eliminarea costurilor aferente grupului ("chelt cota grup") pentru care natura cheltuielii este, in fapt, servicii trezorerie, banci, servicii juridice facturate de fostul actionar</t>
  </si>
  <si>
    <t>G42</t>
  </si>
  <si>
    <t>excluderea costurilor asociate imprumuturilor</t>
  </si>
  <si>
    <t>Matrice de alocare</t>
  </si>
  <si>
    <t>D21, E21, D24, E24</t>
  </si>
  <si>
    <t xml:space="preserve">corectie formula </t>
  </si>
  <si>
    <t>F12</t>
  </si>
  <si>
    <t>corectie formula input racord (nu transport)</t>
  </si>
  <si>
    <t>F25</t>
  </si>
  <si>
    <t>suma era calculata in euro/metru (nu pe km)</t>
  </si>
  <si>
    <t>Serviciu</t>
  </si>
  <si>
    <t>Transport / km</t>
  </si>
  <si>
    <t>RACORD / metru</t>
  </si>
  <si>
    <t>Bransament FTTB / metru</t>
  </si>
  <si>
    <t>Tarife  maxime (formula)</t>
  </si>
  <si>
    <t>perechea</t>
  </si>
  <si>
    <t>Rezultatele modelului de cost</t>
  </si>
  <si>
    <t>Alocare propusa</t>
  </si>
  <si>
    <t>TubeCity Transport</t>
  </si>
  <si>
    <t>TubeCity Racord</t>
  </si>
  <si>
    <t>Curs</t>
  </si>
  <si>
    <t>Alte Proiecte</t>
  </si>
  <si>
    <t>Unitate functionala de baza</t>
  </si>
  <si>
    <t>Tarif per</t>
  </si>
  <si>
    <t>participant</t>
  </si>
  <si>
    <t>CAPEX</t>
  </si>
  <si>
    <t>Lucrari civile cu camerele de tragere Transport</t>
  </si>
  <si>
    <t>Lucrari civile cu camerele de tragere Racord</t>
  </si>
  <si>
    <t>Lucrari civile (FiberCity)</t>
  </si>
  <si>
    <t>Materiale camere de tragere Transport</t>
  </si>
  <si>
    <t>Materiale camere de tragere Racord</t>
  </si>
  <si>
    <t>Cheltuieli cu intretinerea retelei</t>
  </si>
  <si>
    <t>Technical consultant</t>
  </si>
  <si>
    <t>Cheltuieli cu accesul insotit</t>
  </si>
  <si>
    <t>Cheltuieli cu proiecte speciale</t>
  </si>
  <si>
    <t>-</t>
  </si>
  <si>
    <t>Cheltuieli cu asigurarea infrastructurii</t>
  </si>
  <si>
    <t>Cheltuieli cu taxa pentru constructii speciale</t>
  </si>
  <si>
    <t>SG&amp;A- Regulated services</t>
  </si>
  <si>
    <t>Cheltuieli operationale specifice serviciului TubeCity Racord / Transport</t>
  </si>
  <si>
    <t>Cheltuieli operationale specifice serviciului FiberCity</t>
  </si>
  <si>
    <t>Costuri neatribuibile (OPEX+CAPEX)</t>
  </si>
  <si>
    <t>Alte mijloace fixe</t>
  </si>
  <si>
    <t xml:space="preserve">Redevente </t>
  </si>
  <si>
    <t>WACC</t>
  </si>
  <si>
    <t>Durata de viata</t>
  </si>
  <si>
    <t>Lucrari civile</t>
  </si>
  <si>
    <t xml:space="preserve">Materiale (fara fibra optica) </t>
  </si>
  <si>
    <t xml:space="preserve">Materiale - fibra optica </t>
  </si>
  <si>
    <t>Final 2013</t>
  </si>
  <si>
    <t>Final 2014</t>
  </si>
  <si>
    <t>Final 2015</t>
  </si>
  <si>
    <t>Final 2016</t>
  </si>
  <si>
    <t>Final 2017</t>
  </si>
  <si>
    <t>TOTAL CAPEX</t>
  </si>
  <si>
    <t>CAPEX anualizat</t>
  </si>
  <si>
    <t>Retea</t>
  </si>
  <si>
    <t>Lucrari civile cu santurile (TubeCity)</t>
  </si>
  <si>
    <t>Payroll CAPEX</t>
  </si>
  <si>
    <t>Lucrari civile cu camerele de tragere</t>
  </si>
  <si>
    <t>Transport</t>
  </si>
  <si>
    <t>Racord</t>
  </si>
  <si>
    <t>Materiale (fara materiale specifice FiberCity, camere de tragere)</t>
  </si>
  <si>
    <t>Materiale camere de tragere</t>
  </si>
  <si>
    <t>Alte servicii de inclus in CAPEX</t>
  </si>
  <si>
    <t>Observatia ANCOM 2.4</t>
  </si>
  <si>
    <t>Pentru pct 4.4.6.</t>
  </si>
  <si>
    <t>Valoare retelei</t>
  </si>
  <si>
    <t>Diferenta</t>
  </si>
  <si>
    <t>Amortizare (efectiva) a altor mijloace fixe</t>
  </si>
  <si>
    <t xml:space="preserve">CAPEX corespunzator buclelor 21-26 </t>
  </si>
  <si>
    <t>conform situatiei detaliate din sheet-ul "CAPEX Exclus"</t>
  </si>
  <si>
    <t>Cost tevi, conducte nefolosite</t>
  </si>
  <si>
    <t>Conducte</t>
  </si>
  <si>
    <t>Tubete</t>
  </si>
  <si>
    <t>Valoare netă Alte mijloace fixe</t>
  </si>
  <si>
    <t>Total 2013 (RON)</t>
  </si>
  <si>
    <t>Total 2017 (RON)</t>
  </si>
  <si>
    <t>Medie in € 2013-2017</t>
  </si>
  <si>
    <t>Cost anual (EURO)</t>
  </si>
  <si>
    <t>Cost lunar (EURO)</t>
  </si>
  <si>
    <t>Cheltuieli operationale specifice serviciului TubeCity Racord (fara asigurare)</t>
  </si>
  <si>
    <t>Costuri indirecte</t>
  </si>
  <si>
    <t>Cheltuieli excluse</t>
  </si>
  <si>
    <t>Cheltuieli cu taxa pentru constructii speciale - forecast 2014</t>
  </si>
  <si>
    <t>total de inclus in model</t>
  </si>
  <si>
    <t>Sursa informatii: NIMS (toate capacitatile sunt exprimate in echivalent tubeta)</t>
  </si>
  <si>
    <t>Toate capacitatile sunt exprimate in echivalent tubeta</t>
  </si>
  <si>
    <t>Unitate de masura</t>
  </si>
  <si>
    <t>Valoare</t>
  </si>
  <si>
    <t>%</t>
  </si>
  <si>
    <t>Tubete instalate</t>
  </si>
  <si>
    <t>[m]</t>
  </si>
  <si>
    <t>Capacitate rezervata primarie</t>
  </si>
  <si>
    <t>Capacitate rezervata Fibercity</t>
  </si>
  <si>
    <t>Capacitate ocupata cu cablu coax</t>
  </si>
  <si>
    <t>Capacitate rezervata termen lung</t>
  </si>
  <si>
    <t>Capacitate vanduta</t>
  </si>
  <si>
    <t>Lungime instalata de conducte</t>
  </si>
  <si>
    <t>Lungime vanduta de conducte</t>
  </si>
  <si>
    <t>Microducts</t>
  </si>
  <si>
    <t>Lungime retea</t>
  </si>
  <si>
    <t>pieces</t>
  </si>
  <si>
    <t>Multiplicator</t>
  </si>
  <si>
    <t>Multiplicator Coax</t>
  </si>
  <si>
    <t>Multiplicator Cupru</t>
  </si>
  <si>
    <t>Km Coax</t>
  </si>
  <si>
    <t>Km Cupru</t>
  </si>
  <si>
    <t>$B$46:$D$49</t>
  </si>
  <si>
    <t>Year</t>
  </si>
  <si>
    <t>Chelt generale si administrative ajustate</t>
  </si>
  <si>
    <t>Baza de calcul</t>
  </si>
  <si>
    <t>Sume 2013</t>
  </si>
  <si>
    <t>Sume 2017</t>
  </si>
  <si>
    <t>euro/luna</t>
  </si>
  <si>
    <t>Accompanied access</t>
  </si>
  <si>
    <t>Excluded Expenses</t>
  </si>
  <si>
    <t>Depreciation</t>
  </si>
  <si>
    <t>Interest</t>
  </si>
  <si>
    <t>Income Tax</t>
  </si>
  <si>
    <t>Exchange Rate Diffs</t>
  </si>
  <si>
    <t>Commercial Discounts</t>
  </si>
  <si>
    <t>Fines</t>
  </si>
  <si>
    <t>General Admin - Unrelated</t>
  </si>
  <si>
    <t>Maintenance</t>
  </si>
  <si>
    <t>Call Center services</t>
  </si>
  <si>
    <t>Other Projects - Reinvoiced</t>
  </si>
  <si>
    <t>Royalty</t>
  </si>
  <si>
    <t>SG&amp;A</t>
  </si>
  <si>
    <t>General admin</t>
  </si>
  <si>
    <t>Salaries</t>
  </si>
  <si>
    <t>Third Party Expenses</t>
  </si>
  <si>
    <t>2017 ajustat</t>
  </si>
  <si>
    <t>Contributions</t>
  </si>
  <si>
    <t>Rent</t>
  </si>
  <si>
    <t>valoarea aferenta chiriei actuale</t>
  </si>
  <si>
    <t>Depreciation of other fixed assets</t>
  </si>
  <si>
    <t>valoarea actuala conform sit. Mijloacelor fixe furnizate de Netcity</t>
  </si>
  <si>
    <t>Protocol</t>
  </si>
  <si>
    <t>valoarea din 2017 (cea din 2013 era excesiva in comparatie cu nivelul actual)</t>
  </si>
  <si>
    <t>Fuel</t>
  </si>
  <si>
    <t>Utilities</t>
  </si>
  <si>
    <t>Transport and business travel</t>
  </si>
  <si>
    <t>Telecommunication</t>
  </si>
  <si>
    <t>Not stored materials</t>
  </si>
  <si>
    <t>Admintrative costs</t>
  </si>
  <si>
    <t>Taxes</t>
  </si>
  <si>
    <t>Inventory</t>
  </si>
  <si>
    <t>Insurance</t>
  </si>
  <si>
    <t>Advertising</t>
  </si>
  <si>
    <t>Legal fees G&amp;A</t>
  </si>
  <si>
    <t>Externalized services</t>
  </si>
  <si>
    <t>analizate mai jos, in detaliu</t>
  </si>
  <si>
    <t>Logistic</t>
  </si>
  <si>
    <t>valoarea actuala (2017)</t>
  </si>
  <si>
    <t>Bank commision</t>
  </si>
  <si>
    <t>Audit</t>
  </si>
  <si>
    <t>Provisions</t>
  </si>
  <si>
    <t>Technical Consultancy</t>
  </si>
  <si>
    <t>Consultancy cost modelling</t>
  </si>
  <si>
    <t>Legal costs</t>
  </si>
  <si>
    <t>Transfer pricing</t>
  </si>
  <si>
    <t>a inregistrat valori doar in 2013</t>
  </si>
  <si>
    <t>SG&amp;A- FiberCity</t>
  </si>
  <si>
    <t>SG&amp;A- TubeCity</t>
  </si>
  <si>
    <t>Infrastructure Insurance</t>
  </si>
  <si>
    <t>Alte SG&amp;A TubeCity</t>
  </si>
  <si>
    <t>Special construction tax</t>
  </si>
  <si>
    <t>Grand Total</t>
  </si>
  <si>
    <t>Conform bilant</t>
  </si>
  <si>
    <t>Costuri totale conform Trial Balance</t>
  </si>
  <si>
    <t>Reconciliere conform P&amp;L</t>
  </si>
  <si>
    <t>Cheltuieli TOTALE</t>
  </si>
  <si>
    <t>Ajustari privind provizioanele</t>
  </si>
  <si>
    <t>Impozit pe Profit</t>
  </si>
  <si>
    <t>Venituri din productie de imobilizari corporale si necorporale (CAPEX)</t>
  </si>
  <si>
    <t>CHELTUIELI MINUS CAPEX</t>
  </si>
  <si>
    <t>Cheltuieli incluse</t>
  </si>
  <si>
    <t>Check</t>
  </si>
  <si>
    <t>Comunicare corporatista si PR</t>
  </si>
  <si>
    <t>eliminate</t>
  </si>
  <si>
    <t>IT, securitate informationala</t>
  </si>
  <si>
    <t>Juridic</t>
  </si>
  <si>
    <t xml:space="preserve">mentinute doar cele din chelt generale </t>
  </si>
  <si>
    <t>management operational, calitatii si mediului si dezvoltarea afacerii</t>
  </si>
  <si>
    <t>resurse umane</t>
  </si>
  <si>
    <t>servicii financiare</t>
  </si>
  <si>
    <t>Sursa: Cifre preluate din sistemul contabil, reconciliate cu Situatiile Financiare Auditate</t>
  </si>
  <si>
    <t>Descriere</t>
  </si>
  <si>
    <t>Lucrari civile (excluzand lucrarile civile specifice FiberCity)</t>
  </si>
  <si>
    <t>Suma facturilor privind lucrarile civile (exluzand lucrarile civile specifice FiberCity)</t>
  </si>
  <si>
    <t>Salarii</t>
  </si>
  <si>
    <t>Suma salariilor capitalizate pe activul de retea</t>
  </si>
  <si>
    <t>Cota ISC</t>
  </si>
  <si>
    <t>Suma facturilor cu taxele de constructie</t>
  </si>
  <si>
    <t>Costuri de finantare</t>
  </si>
  <si>
    <t>Suma dobanzilor si comisionalor bancare (excluse din CAPEX)</t>
  </si>
  <si>
    <t>Lucrari civile specifice FiberCity</t>
  </si>
  <si>
    <t>Suma facturilor privind lucrarile civile specifice FiberCity</t>
  </si>
  <si>
    <t>Materiale (excluzand materialele specifice FiberCity)</t>
  </si>
  <si>
    <t>Suma facturilor privind materialele (excluzand materialele specifice FiberCity)</t>
  </si>
  <si>
    <t>Materiale - fibra optica</t>
  </si>
  <si>
    <t>Suma facturilor de materiale - fibra optica</t>
  </si>
  <si>
    <t>Alte materiale specifice FiberCity</t>
  </si>
  <si>
    <t>Suma facturilor alte materiale specifice FiberCity</t>
  </si>
  <si>
    <t>Alte servicii incluse in CAPEX</t>
  </si>
  <si>
    <t>Suma facturilor de servicii incluse in CAPEX</t>
  </si>
  <si>
    <t>Conform cu sheet-ul 1. CAPEX</t>
  </si>
  <si>
    <t>1.       Infrastructura:</t>
  </si>
  <si>
    <t>31.12.2017</t>
  </si>
  <si>
    <t>Lungime Canalizatie (RIN)</t>
  </si>
  <si>
    <t>conform raport de audit (pg 50), in prezent, reteaua are o lungime de aproximativ 900 km</t>
  </si>
  <si>
    <t>2.       Echipare reala:</t>
  </si>
  <si>
    <t>Lungime Conducte</t>
  </si>
  <si>
    <t>Lungime Tubete</t>
  </si>
  <si>
    <t>Lungime Cablu FO</t>
  </si>
  <si>
    <t>Lungime Fire FO</t>
  </si>
  <si>
    <t>4.       Ocupare/Capacitate vanduta:</t>
  </si>
  <si>
    <t>Lungime Cablu QR-COAX</t>
  </si>
  <si>
    <t>AJUSTARE ANCOM</t>
  </si>
  <si>
    <t>Tubete instalate in exces fata de cerere si rezerva pe TL</t>
  </si>
  <si>
    <t>Cost mediu unitar (RON/m)</t>
  </si>
  <si>
    <t>Ajustare tubete (RON)</t>
  </si>
  <si>
    <t>Ajustare tubete (EURO)</t>
  </si>
  <si>
    <t>Conducte instalate in exces fata de cerere si rezerva pe TL</t>
  </si>
  <si>
    <t>Ajustare conducte (RON)</t>
  </si>
  <si>
    <t>Ajustare conducte (EUR)</t>
  </si>
  <si>
    <t>5.       Camerete (Reteaua Netcity):</t>
  </si>
  <si>
    <t>BUCATI</t>
  </si>
  <si>
    <t>2009 Total</t>
  </si>
  <si>
    <t>2010 Total</t>
  </si>
  <si>
    <t>2011 Total</t>
  </si>
  <si>
    <t>2012 Total</t>
  </si>
  <si>
    <t>2013 Total</t>
  </si>
  <si>
    <t>2014 Total</t>
  </si>
  <si>
    <t>2015 Total</t>
  </si>
  <si>
    <t>2016 Total</t>
  </si>
  <si>
    <t>2017 Total</t>
  </si>
  <si>
    <t>TOTAL</t>
  </si>
  <si>
    <t>GRAND TOTAL</t>
  </si>
  <si>
    <t>[ALL NETWORK]</t>
  </si>
  <si>
    <t>Camereta</t>
  </si>
  <si>
    <t>MH HDPE</t>
  </si>
  <si>
    <t>MH Type G</t>
  </si>
  <si>
    <t>MH Type X</t>
  </si>
  <si>
    <t>MH Type T</t>
  </si>
  <si>
    <t>MH Type D</t>
  </si>
  <si>
    <t>MH Acces Galerie</t>
  </si>
  <si>
    <t>MH Unknown</t>
  </si>
  <si>
    <t>Cabinet</t>
  </si>
  <si>
    <t>Undefined</t>
  </si>
  <si>
    <t>Nod Magistrala</t>
  </si>
  <si>
    <t>MH CAD</t>
  </si>
  <si>
    <t>Bransament</t>
  </si>
  <si>
    <t>Nod Virtual</t>
  </si>
  <si>
    <t>PRET MEDIU (EUR)</t>
  </si>
  <si>
    <t>TOTAL COST (EUR)</t>
  </si>
  <si>
    <t>PRET MEDIU FARA MATERIALE</t>
  </si>
  <si>
    <t>COST TOTAL FARA MATERIALE</t>
  </si>
  <si>
    <t>COST MEDIU MATERIALE</t>
  </si>
  <si>
    <t>Contractor / h</t>
  </si>
  <si>
    <t>Tarif (EURO / h)</t>
  </si>
  <si>
    <t>benchmark</t>
  </si>
  <si>
    <t>Total (EURO)</t>
  </si>
  <si>
    <t>Catering</t>
  </si>
  <si>
    <t>Analiza materiale (Conducte/Tubete)</t>
  </si>
  <si>
    <t>Cost unitar ponderat</t>
  </si>
  <si>
    <t>Unit</t>
  </si>
  <si>
    <t>Conducta</t>
  </si>
  <si>
    <t>RON/m</t>
  </si>
  <si>
    <t>Tubeta</t>
  </si>
  <si>
    <t>Row Labels</t>
  </si>
  <si>
    <t>Sum of Sum of VALOARE</t>
  </si>
  <si>
    <t>2012 Netcity</t>
  </si>
  <si>
    <t>2012 Group</t>
  </si>
  <si>
    <t>Capac:</t>
  </si>
  <si>
    <t>Regleta:</t>
  </si>
  <si>
    <t>2010 - Final 2012</t>
  </si>
  <si>
    <t>Sum of Sum of Proj Func Burdened Cost</t>
  </si>
  <si>
    <t>Cost mediu reglete si capac:</t>
  </si>
  <si>
    <t>UTI 2012</t>
  </si>
  <si>
    <t>Nota: Costul adezivului este alocat direct conductelor</t>
  </si>
  <si>
    <t>Numar reglete pe tip camerete:</t>
  </si>
  <si>
    <t>Total (RON)</t>
  </si>
  <si>
    <t>Materiale (Conducta/Tubeta) Transport</t>
  </si>
  <si>
    <t>Materiale (Conducta/Tubeta) Racord</t>
  </si>
  <si>
    <t>Alte Materiale, inclusiv:</t>
  </si>
  <si>
    <t>Alte Materiale Transport</t>
  </si>
  <si>
    <t>Alte Materiale Racord</t>
  </si>
  <si>
    <t>Total</t>
  </si>
  <si>
    <t>Total Materiale Transport</t>
  </si>
  <si>
    <t>Total Materiale Racord</t>
  </si>
  <si>
    <t>Cost total conducte</t>
  </si>
  <si>
    <t>Cost total tubete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</si>
</sst>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\ _z_ł_-;\-* #,##0\ _z_ł_-;_-* &quot;-&quot;\ _z_ł_-;_-@_-"/>
    <numFmt numFmtId="166" formatCode="_-* #,##0.00\ _z_ł_-;\-* #,##0.00\ _z_ł_-;_-* &quot;-&quot;??\ _z_ł_-;_-@_-"/>
    <numFmt numFmtId="167" formatCode="_(* #,##0_);_(* \(#,##0\);_(* &quot;-&quot;??_);_(@_)"/>
    <numFmt numFmtId="168" formatCode="_-* #,##0\ _z_ł_-;\-* #,##0\ _z_ł_-;_-* &quot;-&quot;??\ _z_ł_-;_-@_-"/>
    <numFmt numFmtId="169" formatCode="#,##0.0"/>
    <numFmt numFmtId="170" formatCode="0.0%"/>
    <numFmt numFmtId="171" formatCode="0_);\(0\)"/>
    <numFmt numFmtId="172" formatCode="0.00000%"/>
    <numFmt numFmtId="173" formatCode="_(* #,##0.0000000_);_(* \(#,##0.0000000\);_(* &quot;-&quot;??_);_(@_)"/>
    <numFmt numFmtId="174" formatCode="0.000000"/>
    <numFmt numFmtId="175" formatCode="_(* #,##0.00_);_(* \(#,##0.00\);_(* &quot;-&quot;_);_(@_)"/>
    <numFmt numFmtId="176" formatCode="#,##0.00\ [$€-82E]"/>
    <numFmt numFmtId="177" formatCode="#,##0.00\ [$€-1]"/>
    <numFmt numFmtId="178" formatCode="_(* #,##0.0_);_(* \(#,##0.0\);_(* &quot;-&quot;??_);_(@_)"/>
    <numFmt numFmtId="179" formatCode="_ * #,##0_)\ [$€-1]_ ;_ * \(#,##0\)\ [$€-1]_ ;_ * &quot;-&quot;_)\ [$€-1]_ ;_ @_ "/>
    <numFmt numFmtId="180" formatCode="#,##0\ [$€-1]_);\(#,##0\ [$€-1]\)"/>
    <numFmt numFmtId="181" formatCode="[$€-2]\ #,##0_);\([$€-2]\ #,##0\)"/>
    <numFmt numFmtId="182" formatCode="_-* #,##0.000\ _z_ł_-;\-* #,##0.000\ _z_ł_-;_-* &quot;-&quot;??\ _z_ł_-;_-@_-"/>
    <numFmt numFmtId="183" formatCode="#,##0.000\ [$€-82E]"/>
  </numFmts>
  <fonts count="7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0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b/>
      <i/>
      <sz val="7"/>
      <name val="Arial"/>
      <family val="2"/>
      <charset val="238"/>
    </font>
    <font>
      <b/>
      <sz val="11"/>
      <color theme="3" tint="0.39997558519241921"/>
      <name val="Calibri"/>
      <family val="2"/>
      <scheme val="minor"/>
    </font>
    <font>
      <sz val="8"/>
      <color rgb="FFFF0000"/>
      <name val="Arial"/>
      <family val="2"/>
      <charset val="238"/>
    </font>
    <font>
      <b/>
      <sz val="11"/>
      <name val="Calibri"/>
      <family val="2"/>
      <scheme val="minor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7"/>
      <color rgb="FFFF0000"/>
      <name val="Arial"/>
      <family val="2"/>
      <charset val="238"/>
    </font>
    <font>
      <b/>
      <sz val="8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color rgb="FFFFFFFF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6" tint="0.3999450666829432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theme="3" tint="0.399914548173467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20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35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8" fillId="1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4" fillId="0" borderId="0" applyNumberFormat="0" applyFill="0" applyBorder="0" applyAlignment="0" applyProtection="0"/>
    <xf numFmtId="0" fontId="2" fillId="0" borderId="0"/>
  </cellStyleXfs>
  <cellXfs count="621">
    <xf numFmtId="0" fontId="0" fillId="0" borderId="0" xfId="0"/>
    <xf numFmtId="0" fontId="17" fillId="0" borderId="0" xfId="0" applyFont="1"/>
    <xf numFmtId="0" fontId="17" fillId="0" borderId="0" xfId="0" applyFont="1" applyBorder="1"/>
    <xf numFmtId="0" fontId="18" fillId="0" borderId="0" xfId="0" applyFont="1" applyBorder="1" applyAlignment="1">
      <alignment horizontal="justify" vertical="top"/>
    </xf>
    <xf numFmtId="0" fontId="19" fillId="0" borderId="0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justify" vertical="top"/>
    </xf>
    <xf numFmtId="0" fontId="17" fillId="2" borderId="1" xfId="0" applyFont="1" applyFill="1" applyBorder="1"/>
    <xf numFmtId="0" fontId="17" fillId="0" borderId="0" xfId="0" applyFont="1" applyFill="1" applyBorder="1"/>
    <xf numFmtId="0" fontId="18" fillId="0" borderId="0" xfId="0" applyFont="1" applyFill="1" applyBorder="1" applyAlignment="1">
      <alignment horizontal="justify" vertical="top"/>
    </xf>
    <xf numFmtId="3" fontId="17" fillId="0" borderId="1" xfId="0" applyNumberFormat="1" applyFont="1" applyBorder="1"/>
    <xf numFmtId="0" fontId="23" fillId="0" borderId="0" xfId="0" applyFont="1" applyBorder="1"/>
    <xf numFmtId="0" fontId="19" fillId="0" borderId="0" xfId="0" applyFont="1" applyFill="1" applyBorder="1" applyAlignment="1">
      <alignment horizontal="left" vertical="top" wrapText="1"/>
    </xf>
    <xf numFmtId="0" fontId="24" fillId="0" borderId="0" xfId="0" applyFont="1"/>
    <xf numFmtId="3" fontId="17" fillId="0" borderId="0" xfId="0" applyNumberFormat="1" applyFont="1" applyAlignment="1"/>
    <xf numFmtId="166" fontId="17" fillId="0" borderId="1" xfId="0" applyNumberFormat="1" applyFont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/>
    </xf>
    <xf numFmtId="166" fontId="17" fillId="0" borderId="0" xfId="0" applyNumberFormat="1" applyFont="1" applyBorder="1"/>
    <xf numFmtId="0" fontId="17" fillId="0" borderId="0" xfId="0" applyFont="1" applyFill="1"/>
    <xf numFmtId="0" fontId="25" fillId="0" borderId="0" xfId="0" applyFont="1" applyFill="1" applyBorder="1" applyAlignment="1">
      <alignment horizontal="left" vertical="center" wrapText="1" indent="2"/>
    </xf>
    <xf numFmtId="0" fontId="17" fillId="0" borderId="0" xfId="0" applyFont="1" applyFill="1" applyBorder="1" applyAlignment="1">
      <alignment horizontal="center" vertical="center" wrapText="1"/>
    </xf>
    <xf numFmtId="0" fontId="27" fillId="0" borderId="0" xfId="0" applyFont="1"/>
    <xf numFmtId="0" fontId="17" fillId="0" borderId="0" xfId="0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 indent="6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/>
    <xf numFmtId="168" fontId="17" fillId="0" borderId="0" xfId="0" applyNumberFormat="1" applyFont="1" applyBorder="1"/>
    <xf numFmtId="168" fontId="18" fillId="2" borderId="1" xfId="0" applyNumberFormat="1" applyFont="1" applyFill="1" applyBorder="1" applyAlignment="1">
      <alignment horizontal="justify" vertical="top"/>
    </xf>
    <xf numFmtId="3" fontId="17" fillId="0" borderId="0" xfId="0" applyNumberFormat="1" applyFont="1"/>
    <xf numFmtId="0" fontId="12" fillId="0" borderId="0" xfId="13"/>
    <xf numFmtId="0" fontId="30" fillId="0" borderId="1" xfId="13" applyFont="1" applyBorder="1" applyAlignment="1">
      <alignment horizontal="left" vertical="center" wrapText="1" indent="2"/>
    </xf>
    <xf numFmtId="0" fontId="19" fillId="0" borderId="1" xfId="13" applyFont="1" applyBorder="1" applyAlignment="1">
      <alignment horizontal="left" vertical="center" wrapText="1" indent="4"/>
    </xf>
    <xf numFmtId="0" fontId="19" fillId="0" borderId="0" xfId="13" applyFont="1" applyBorder="1" applyAlignment="1">
      <alignment horizontal="left" vertical="center" wrapText="1" indent="4"/>
    </xf>
    <xf numFmtId="0" fontId="34" fillId="0" borderId="0" xfId="13" applyFont="1"/>
    <xf numFmtId="0" fontId="17" fillId="0" borderId="1" xfId="13" applyFont="1" applyFill="1" applyBorder="1" applyAlignment="1">
      <alignment horizontal="left" indent="2"/>
    </xf>
    <xf numFmtId="3" fontId="17" fillId="0" borderId="0" xfId="0" applyNumberFormat="1" applyFont="1" applyFill="1"/>
    <xf numFmtId="0" fontId="32" fillId="0" borderId="1" xfId="13" applyFont="1" applyFill="1" applyBorder="1" applyAlignment="1">
      <alignment horizontal="left" vertical="center" indent="6"/>
    </xf>
    <xf numFmtId="0" fontId="17" fillId="0" borderId="0" xfId="13" applyFont="1" applyFill="1" applyBorder="1" applyAlignment="1">
      <alignment horizontal="left" indent="2"/>
    </xf>
    <xf numFmtId="43" fontId="12" fillId="0" borderId="0" xfId="13" applyNumberFormat="1"/>
    <xf numFmtId="0" fontId="18" fillId="0" borderId="25" xfId="0" applyFont="1" applyBorder="1" applyAlignment="1">
      <alignment horizontal="center"/>
    </xf>
    <xf numFmtId="165" fontId="17" fillId="2" borderId="0" xfId="0" applyNumberFormat="1" applyFont="1" applyFill="1" applyBorder="1" applyAlignment="1">
      <alignment horizontal="justify" vertical="top"/>
    </xf>
    <xf numFmtId="3" fontId="17" fillId="0" borderId="17" xfId="0" applyNumberFormat="1" applyFont="1" applyBorder="1"/>
    <xf numFmtId="3" fontId="17" fillId="0" borderId="11" xfId="0" applyNumberFormat="1" applyFont="1" applyBorder="1"/>
    <xf numFmtId="165" fontId="17" fillId="2" borderId="0" xfId="0" applyNumberFormat="1" applyFont="1" applyFill="1" applyBorder="1" applyAlignment="1">
      <alignment horizontal="left" vertical="top" indent="1"/>
    </xf>
    <xf numFmtId="166" fontId="17" fillId="0" borderId="1" xfId="0" applyNumberFormat="1" applyFont="1" applyBorder="1"/>
    <xf numFmtId="168" fontId="17" fillId="0" borderId="1" xfId="0" applyNumberFormat="1" applyFont="1" applyBorder="1" applyAlignment="1">
      <alignment horizontal="center"/>
    </xf>
    <xf numFmtId="168" fontId="17" fillId="2" borderId="1" xfId="0" applyNumberFormat="1" applyFont="1" applyFill="1" applyBorder="1"/>
    <xf numFmtId="4" fontId="17" fillId="0" borderId="1" xfId="0" applyNumberFormat="1" applyFont="1" applyBorder="1" applyAlignment="1">
      <alignment horizontal="right" vertical="center" wrapText="1" indent="1"/>
    </xf>
    <xf numFmtId="4" fontId="17" fillId="0" borderId="1" xfId="0" applyNumberFormat="1" applyFont="1" applyFill="1" applyBorder="1" applyAlignment="1">
      <alignment horizontal="right" vertical="center" wrapText="1" indent="1"/>
    </xf>
    <xf numFmtId="168" fontId="19" fillId="0" borderId="11" xfId="0" applyNumberFormat="1" applyFont="1" applyBorder="1" applyAlignment="1">
      <alignment horizontal="left" vertical="center" wrapText="1" indent="2"/>
    </xf>
    <xf numFmtId="168" fontId="17" fillId="0" borderId="3" xfId="0" applyNumberFormat="1" applyFont="1" applyBorder="1" applyAlignment="1">
      <alignment horizontal="center"/>
    </xf>
    <xf numFmtId="168" fontId="18" fillId="2" borderId="11" xfId="0" applyNumberFormat="1" applyFont="1" applyFill="1" applyBorder="1" applyAlignment="1">
      <alignment horizontal="justify" vertical="top"/>
    </xf>
    <xf numFmtId="0" fontId="17" fillId="2" borderId="3" xfId="0" applyFont="1" applyFill="1" applyBorder="1"/>
    <xf numFmtId="0" fontId="18" fillId="2" borderId="3" xfId="0" applyFont="1" applyFill="1" applyBorder="1" applyAlignment="1">
      <alignment horizontal="justify" vertical="top"/>
    </xf>
    <xf numFmtId="166" fontId="17" fillId="2" borderId="3" xfId="0" applyNumberFormat="1" applyFont="1" applyFill="1" applyBorder="1" applyAlignment="1">
      <alignment horizontal="center" vertical="center" wrapText="1"/>
    </xf>
    <xf numFmtId="168" fontId="17" fillId="0" borderId="3" xfId="0" applyNumberFormat="1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justify" vertical="top"/>
    </xf>
    <xf numFmtId="0" fontId="17" fillId="2" borderId="0" xfId="0" applyFont="1" applyFill="1" applyBorder="1" applyAlignment="1">
      <alignment horizontal="center" vertical="top"/>
    </xf>
    <xf numFmtId="0" fontId="17" fillId="0" borderId="17" xfId="0" applyFont="1" applyBorder="1" applyAlignment="1">
      <alignment horizontal="center"/>
    </xf>
    <xf numFmtId="3" fontId="17" fillId="0" borderId="15" xfId="0" applyNumberFormat="1" applyFont="1" applyFill="1" applyBorder="1" applyAlignment="1"/>
    <xf numFmtId="0" fontId="17" fillId="0" borderId="11" xfId="0" applyFont="1" applyBorder="1" applyAlignment="1">
      <alignment horizontal="center"/>
    </xf>
    <xf numFmtId="3" fontId="17" fillId="0" borderId="3" xfId="0" applyNumberFormat="1" applyFont="1" applyFill="1" applyBorder="1" applyAlignment="1"/>
    <xf numFmtId="0" fontId="17" fillId="0" borderId="10" xfId="0" applyFont="1" applyBorder="1" applyAlignment="1">
      <alignment horizontal="center"/>
    </xf>
    <xf numFmtId="0" fontId="25" fillId="9" borderId="11" xfId="0" applyFont="1" applyFill="1" applyBorder="1" applyAlignment="1">
      <alignment horizontal="left" vertical="center" wrapText="1" indent="2"/>
    </xf>
    <xf numFmtId="9" fontId="19" fillId="0" borderId="19" xfId="1" applyFont="1" applyBorder="1" applyAlignment="1">
      <alignment horizontal="left" vertical="center" wrapText="1" indent="4"/>
    </xf>
    <xf numFmtId="168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8" fontId="17" fillId="0" borderId="28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left" indent="1"/>
    </xf>
    <xf numFmtId="0" fontId="17" fillId="0" borderId="16" xfId="0" applyFont="1" applyBorder="1"/>
    <xf numFmtId="0" fontId="17" fillId="0" borderId="15" xfId="0" applyFont="1" applyBorder="1"/>
    <xf numFmtId="0" fontId="17" fillId="0" borderId="10" xfId="0" applyFont="1" applyBorder="1" applyAlignment="1">
      <alignment horizontal="left" indent="1"/>
    </xf>
    <xf numFmtId="0" fontId="17" fillId="0" borderId="9" xfId="0" applyFont="1" applyBorder="1"/>
    <xf numFmtId="0" fontId="17" fillId="0" borderId="8" xfId="0" applyFont="1" applyBorder="1"/>
    <xf numFmtId="0" fontId="17" fillId="0" borderId="17" xfId="0" applyFont="1" applyBorder="1"/>
    <xf numFmtId="2" fontId="17" fillId="0" borderId="15" xfId="0" applyNumberFormat="1" applyFont="1" applyBorder="1"/>
    <xf numFmtId="0" fontId="17" fillId="0" borderId="10" xfId="0" applyFont="1" applyBorder="1"/>
    <xf numFmtId="2" fontId="17" fillId="0" borderId="22" xfId="0" applyNumberFormat="1" applyFont="1" applyBorder="1"/>
    <xf numFmtId="2" fontId="17" fillId="0" borderId="31" xfId="0" applyNumberFormat="1" applyFont="1" applyFill="1" applyBorder="1"/>
    <xf numFmtId="165" fontId="17" fillId="9" borderId="0" xfId="0" applyNumberFormat="1" applyFont="1" applyFill="1" applyBorder="1" applyAlignment="1">
      <alignment horizontal="center" vertical="center"/>
    </xf>
    <xf numFmtId="165" fontId="17" fillId="6" borderId="0" xfId="0" applyNumberFormat="1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left" vertical="center" wrapText="1" indent="2"/>
    </xf>
    <xf numFmtId="0" fontId="36" fillId="7" borderId="17" xfId="0" applyFont="1" applyFill="1" applyBorder="1" applyAlignment="1">
      <alignment horizontal="left" vertical="center" wrapText="1" indent="2"/>
    </xf>
    <xf numFmtId="0" fontId="36" fillId="7" borderId="16" xfId="0" applyFont="1" applyFill="1" applyBorder="1" applyAlignment="1">
      <alignment horizontal="center" vertical="center" wrapText="1"/>
    </xf>
    <xf numFmtId="0" fontId="36" fillId="7" borderId="15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left" vertical="center" wrapText="1" indent="2"/>
    </xf>
    <xf numFmtId="0" fontId="36" fillId="7" borderId="1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left" vertical="center" wrapText="1"/>
    </xf>
    <xf numFmtId="0" fontId="30" fillId="0" borderId="1" xfId="13" applyFont="1" applyBorder="1" applyAlignment="1">
      <alignment horizontal="left" vertical="center" wrapText="1" indent="3"/>
    </xf>
    <xf numFmtId="0" fontId="17" fillId="0" borderId="17" xfId="0" applyFont="1" applyBorder="1" applyAlignment="1">
      <alignment horizontal="left" vertical="center" wrapText="1" indent="2"/>
    </xf>
    <xf numFmtId="10" fontId="17" fillId="0" borderId="15" xfId="1" applyNumberFormat="1" applyFont="1" applyBorder="1"/>
    <xf numFmtId="0" fontId="17" fillId="0" borderId="10" xfId="0" applyFont="1" applyBorder="1" applyAlignment="1">
      <alignment horizontal="left" vertical="center" wrapText="1" indent="2"/>
    </xf>
    <xf numFmtId="10" fontId="17" fillId="0" borderId="8" xfId="1" applyNumberFormat="1" applyFont="1" applyBorder="1"/>
    <xf numFmtId="0" fontId="19" fillId="0" borderId="17" xfId="0" applyFont="1" applyFill="1" applyBorder="1" applyAlignment="1">
      <alignment horizontal="left" vertical="top" wrapText="1" indent="2"/>
    </xf>
    <xf numFmtId="0" fontId="19" fillId="0" borderId="11" xfId="0" applyFont="1" applyFill="1" applyBorder="1" applyAlignment="1">
      <alignment horizontal="left" vertical="top" wrapText="1" indent="2"/>
    </xf>
    <xf numFmtId="0" fontId="17" fillId="0" borderId="3" xfId="0" applyFont="1" applyBorder="1"/>
    <xf numFmtId="0" fontId="19" fillId="0" borderId="17" xfId="13" applyFont="1" applyBorder="1" applyAlignment="1">
      <alignment horizontal="left" vertical="center" wrapText="1" indent="2"/>
    </xf>
    <xf numFmtId="0" fontId="19" fillId="0" borderId="11" xfId="13" applyFont="1" applyBorder="1" applyAlignment="1">
      <alignment horizontal="left" vertical="center" wrapText="1" indent="2"/>
    </xf>
    <xf numFmtId="0" fontId="19" fillId="0" borderId="10" xfId="13" applyFont="1" applyBorder="1" applyAlignment="1">
      <alignment horizontal="left" vertical="center" wrapText="1" indent="2"/>
    </xf>
    <xf numFmtId="0" fontId="19" fillId="0" borderId="8" xfId="13" applyFont="1" applyBorder="1" applyAlignment="1">
      <alignment horizontal="left" vertical="center" wrapText="1" indent="4"/>
    </xf>
    <xf numFmtId="168" fontId="17" fillId="0" borderId="1" xfId="0" applyNumberFormat="1" applyFont="1" applyBorder="1" applyAlignment="1">
      <alignment horizontal="left" indent="4"/>
    </xf>
    <xf numFmtId="0" fontId="29" fillId="10" borderId="33" xfId="0" applyFont="1" applyFill="1" applyBorder="1" applyAlignment="1">
      <alignment horizontal="center" vertical="center"/>
    </xf>
    <xf numFmtId="0" fontId="18" fillId="12" borderId="23" xfId="0" applyFont="1" applyFill="1" applyBorder="1"/>
    <xf numFmtId="0" fontId="18" fillId="12" borderId="29" xfId="0" applyFont="1" applyFill="1" applyBorder="1" applyAlignment="1">
      <alignment horizontal="center"/>
    </xf>
    <xf numFmtId="0" fontId="36" fillId="8" borderId="0" xfId="0" applyFont="1" applyFill="1" applyBorder="1" applyAlignment="1">
      <alignment horizontal="left" vertical="center" wrapText="1"/>
    </xf>
    <xf numFmtId="168" fontId="26" fillId="8" borderId="10" xfId="0" applyNumberFormat="1" applyFont="1" applyFill="1" applyBorder="1" applyAlignment="1">
      <alignment horizontal="left" vertical="center" wrapText="1" indent="2"/>
    </xf>
    <xf numFmtId="166" fontId="26" fillId="8" borderId="9" xfId="0" applyNumberFormat="1" applyFont="1" applyFill="1" applyBorder="1" applyAlignment="1">
      <alignment horizontal="center" vertical="center" wrapText="1"/>
    </xf>
    <xf numFmtId="166" fontId="26" fillId="8" borderId="8" xfId="0" applyNumberFormat="1" applyFont="1" applyFill="1" applyBorder="1" applyAlignment="1">
      <alignment horizontal="center" vertical="center" wrapText="1"/>
    </xf>
    <xf numFmtId="0" fontId="33" fillId="0" borderId="1" xfId="25" applyFont="1" applyFill="1" applyBorder="1" applyAlignment="1">
      <alignment horizontal="left" vertical="center" wrapText="1" indent="6"/>
    </xf>
    <xf numFmtId="0" fontId="17" fillId="0" borderId="1" xfId="25" applyFont="1" applyFill="1" applyBorder="1" applyAlignment="1">
      <alignment horizontal="left" indent="2"/>
    </xf>
    <xf numFmtId="0" fontId="37" fillId="0" borderId="0" xfId="26" applyFont="1"/>
    <xf numFmtId="0" fontId="37" fillId="0" borderId="0" xfId="0" applyFont="1"/>
    <xf numFmtId="0" fontId="22" fillId="14" borderId="36" xfId="0" applyFont="1" applyFill="1" applyBorder="1" applyAlignment="1">
      <alignment horizontal="center"/>
    </xf>
    <xf numFmtId="0" fontId="42" fillId="14" borderId="37" xfId="0" applyFont="1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40" fillId="10" borderId="38" xfId="0" applyFont="1" applyFill="1" applyBorder="1" applyAlignment="1">
      <alignment horizontal="center"/>
    </xf>
    <xf numFmtId="0" fontId="40" fillId="10" borderId="22" xfId="0" applyFont="1" applyFill="1" applyBorder="1" applyAlignment="1">
      <alignment horizontal="center"/>
    </xf>
    <xf numFmtId="0" fontId="39" fillId="10" borderId="40" xfId="0" applyFont="1" applyFill="1" applyBorder="1" applyAlignment="1">
      <alignment horizontal="left" indent="1"/>
    </xf>
    <xf numFmtId="0" fontId="0" fillId="14" borderId="43" xfId="0" applyFill="1" applyBorder="1" applyAlignment="1">
      <alignment horizontal="left" indent="2"/>
    </xf>
    <xf numFmtId="43" fontId="22" fillId="15" borderId="43" xfId="0" applyNumberFormat="1" applyFont="1" applyFill="1" applyBorder="1"/>
    <xf numFmtId="0" fontId="0" fillId="14" borderId="24" xfId="0" applyFill="1" applyBorder="1" applyAlignment="1">
      <alignment horizontal="left" indent="2"/>
    </xf>
    <xf numFmtId="43" fontId="0" fillId="0" borderId="11" xfId="0" applyNumberFormat="1" applyBorder="1"/>
    <xf numFmtId="43" fontId="0" fillId="0" borderId="3" xfId="0" applyNumberFormat="1" applyBorder="1"/>
    <xf numFmtId="43" fontId="22" fillId="0" borderId="24" xfId="0" applyNumberFormat="1" applyFont="1" applyBorder="1"/>
    <xf numFmtId="43" fontId="0" fillId="0" borderId="47" xfId="0" applyNumberFormat="1" applyBorder="1"/>
    <xf numFmtId="43" fontId="0" fillId="0" borderId="48" xfId="0" applyNumberFormat="1" applyBorder="1"/>
    <xf numFmtId="43" fontId="22" fillId="0" borderId="46" xfId="0" applyNumberFormat="1" applyFont="1" applyBorder="1"/>
    <xf numFmtId="41" fontId="22" fillId="14" borderId="41" xfId="0" applyNumberFormat="1" applyFont="1" applyFill="1" applyBorder="1"/>
    <xf numFmtId="41" fontId="0" fillId="0" borderId="44" xfId="0" applyNumberFormat="1" applyBorder="1"/>
    <xf numFmtId="41" fontId="0" fillId="0" borderId="45" xfId="0" applyNumberFormat="1" applyBorder="1"/>
    <xf numFmtId="41" fontId="22" fillId="0" borderId="43" xfId="0" applyNumberFormat="1" applyFont="1" applyBorder="1"/>
    <xf numFmtId="41" fontId="0" fillId="0" borderId="11" xfId="0" applyNumberFormat="1" applyBorder="1"/>
    <xf numFmtId="41" fontId="0" fillId="0" borderId="3" xfId="0" applyNumberFormat="1" applyBorder="1"/>
    <xf numFmtId="41" fontId="0" fillId="0" borderId="47" xfId="0" applyNumberFormat="1" applyBorder="1"/>
    <xf numFmtId="41" fontId="0" fillId="0" borderId="48" xfId="0" applyNumberFormat="1" applyBorder="1"/>
    <xf numFmtId="0" fontId="33" fillId="0" borderId="1" xfId="13" applyFont="1" applyBorder="1" applyAlignment="1">
      <alignment horizontal="left" vertical="center" wrapText="1" indent="4"/>
    </xf>
    <xf numFmtId="0" fontId="17" fillId="11" borderId="0" xfId="0" applyFont="1" applyFill="1" applyBorder="1" applyAlignment="1">
      <alignment horizontal="center" vertical="top"/>
    </xf>
    <xf numFmtId="165" fontId="17" fillId="11" borderId="0" xfId="0" applyNumberFormat="1" applyFont="1" applyFill="1" applyBorder="1" applyAlignment="1">
      <alignment horizontal="left" vertical="top" indent="1"/>
    </xf>
    <xf numFmtId="0" fontId="30" fillId="0" borderId="27" xfId="0" applyFont="1" applyFill="1" applyBorder="1" applyAlignment="1">
      <alignment horizontal="left" vertical="center"/>
    </xf>
    <xf numFmtId="166" fontId="17" fillId="0" borderId="26" xfId="0" applyNumberFormat="1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/>
    <xf numFmtId="165" fontId="17" fillId="0" borderId="0" xfId="0" applyNumberFormat="1" applyFont="1" applyFill="1" applyBorder="1" applyAlignment="1">
      <alignment horizontal="left" vertical="top" indent="1"/>
    </xf>
    <xf numFmtId="0" fontId="17" fillId="2" borderId="0" xfId="0" applyFont="1" applyFill="1" applyBorder="1" applyAlignment="1">
      <alignment horizontal="left" vertical="top" indent="1"/>
    </xf>
    <xf numFmtId="0" fontId="17" fillId="0" borderId="3" xfId="0" applyFont="1" applyFill="1" applyBorder="1" applyAlignment="1">
      <alignment horizontal="center" vertical="top"/>
    </xf>
    <xf numFmtId="0" fontId="7" fillId="0" borderId="0" xfId="28"/>
    <xf numFmtId="0" fontId="7" fillId="0" borderId="32" xfId="28" applyBorder="1"/>
    <xf numFmtId="0" fontId="7" fillId="0" borderId="33" xfId="28" applyBorder="1"/>
    <xf numFmtId="0" fontId="7" fillId="0" borderId="34" xfId="28" applyBorder="1"/>
    <xf numFmtId="0" fontId="7" fillId="0" borderId="7" xfId="28" applyBorder="1" applyAlignment="1">
      <alignment horizontal="left"/>
    </xf>
    <xf numFmtId="0" fontId="7" fillId="0" borderId="6" xfId="28" applyBorder="1" applyAlignment="1">
      <alignment horizontal="left"/>
    </xf>
    <xf numFmtId="0" fontId="46" fillId="0" borderId="0" xfId="28" applyFont="1"/>
    <xf numFmtId="0" fontId="7" fillId="0" borderId="18" xfId="28" applyBorder="1"/>
    <xf numFmtId="9" fontId="17" fillId="0" borderId="0" xfId="1" applyFont="1" applyFill="1" applyBorder="1" applyAlignment="1"/>
    <xf numFmtId="9" fontId="17" fillId="0" borderId="8" xfId="1" applyFont="1" applyFill="1" applyBorder="1" applyAlignment="1"/>
    <xf numFmtId="9" fontId="17" fillId="0" borderId="3" xfId="1" applyFont="1" applyFill="1" applyBorder="1" applyAlignment="1"/>
    <xf numFmtId="0" fontId="17" fillId="0" borderId="13" xfId="0" applyFont="1" applyBorder="1" applyAlignment="1">
      <alignment horizontal="center"/>
    </xf>
    <xf numFmtId="9" fontId="17" fillId="0" borderId="14" xfId="1" applyFont="1" applyFill="1" applyBorder="1"/>
    <xf numFmtId="165" fontId="17" fillId="2" borderId="0" xfId="0" applyNumberFormat="1" applyFont="1" applyFill="1" applyBorder="1" applyAlignment="1">
      <alignment horizontal="left" vertical="center"/>
    </xf>
    <xf numFmtId="165" fontId="47" fillId="2" borderId="0" xfId="0" applyNumberFormat="1" applyFont="1" applyFill="1" applyBorder="1" applyAlignment="1">
      <alignment horizontal="left" vertical="center" indent="1"/>
    </xf>
    <xf numFmtId="165" fontId="17" fillId="6" borderId="0" xfId="0" applyNumberFormat="1" applyFont="1" applyFill="1" applyBorder="1" applyAlignment="1">
      <alignment horizontal="left" vertical="center"/>
    </xf>
    <xf numFmtId="9" fontId="17" fillId="0" borderId="15" xfId="1" applyFont="1" applyBorder="1"/>
    <xf numFmtId="9" fontId="17" fillId="0" borderId="3" xfId="1" applyFont="1" applyBorder="1"/>
    <xf numFmtId="3" fontId="47" fillId="0" borderId="11" xfId="0" applyNumberFormat="1" applyFont="1" applyBorder="1"/>
    <xf numFmtId="9" fontId="47" fillId="0" borderId="3" xfId="1" applyFont="1" applyBorder="1"/>
    <xf numFmtId="3" fontId="17" fillId="6" borderId="11" xfId="0" applyNumberFormat="1" applyFont="1" applyFill="1" applyBorder="1"/>
    <xf numFmtId="9" fontId="17" fillId="6" borderId="3" xfId="1" applyFont="1" applyFill="1" applyBorder="1"/>
    <xf numFmtId="3" fontId="47" fillId="0" borderId="10" xfId="0" applyNumberFormat="1" applyFont="1" applyBorder="1"/>
    <xf numFmtId="9" fontId="47" fillId="0" borderId="8" xfId="1" applyFont="1" applyBorder="1"/>
    <xf numFmtId="0" fontId="25" fillId="11" borderId="35" xfId="0" applyFont="1" applyFill="1" applyBorder="1" applyAlignment="1">
      <alignment horizontal="left" vertical="center"/>
    </xf>
    <xf numFmtId="165" fontId="0" fillId="0" borderId="1" xfId="0" applyNumberFormat="1" applyBorder="1"/>
    <xf numFmtId="165" fontId="0" fillId="0" borderId="17" xfId="0" applyNumberFormat="1" applyBorder="1"/>
    <xf numFmtId="165" fontId="0" fillId="0" borderId="16" xfId="0" applyNumberFormat="1" applyBorder="1"/>
    <xf numFmtId="165" fontId="0" fillId="0" borderId="11" xfId="0" applyNumberFormat="1" applyBorder="1"/>
    <xf numFmtId="165" fontId="0" fillId="0" borderId="10" xfId="0" applyNumberFormat="1" applyBorder="1"/>
    <xf numFmtId="165" fontId="0" fillId="0" borderId="9" xfId="0" applyNumberFormat="1" applyBorder="1"/>
    <xf numFmtId="0" fontId="0" fillId="0" borderId="15" xfId="0" applyBorder="1"/>
    <xf numFmtId="0" fontId="0" fillId="0" borderId="3" xfId="0" applyBorder="1"/>
    <xf numFmtId="0" fontId="0" fillId="0" borderId="8" xfId="0" applyBorder="1"/>
    <xf numFmtId="0" fontId="0" fillId="0" borderId="0" xfId="0" applyNumberFormat="1"/>
    <xf numFmtId="0" fontId="47" fillId="0" borderId="0" xfId="0" applyFont="1"/>
    <xf numFmtId="0" fontId="0" fillId="0" borderId="0" xfId="0" applyFill="1" applyBorder="1"/>
    <xf numFmtId="0" fontId="38" fillId="0" borderId="0" xfId="24" applyFill="1" applyBorder="1"/>
    <xf numFmtId="0" fontId="38" fillId="0" borderId="0" xfId="24" applyFill="1" applyBorder="1" applyAlignment="1">
      <alignment horizontal="center" vertical="center"/>
    </xf>
    <xf numFmtId="0" fontId="38" fillId="0" borderId="0" xfId="24" applyFill="1" applyBorder="1" applyAlignment="1">
      <alignment horizontal="center" vertical="center" wrapText="1"/>
    </xf>
    <xf numFmtId="0" fontId="0" fillId="0" borderId="0" xfId="0" applyNumberFormat="1" applyFill="1" applyBorder="1"/>
    <xf numFmtId="166" fontId="36" fillId="9" borderId="1" xfId="0" applyNumberFormat="1" applyFont="1" applyFill="1" applyBorder="1" applyAlignment="1">
      <alignment horizontal="left" vertical="center" wrapText="1" indent="2"/>
    </xf>
    <xf numFmtId="168" fontId="36" fillId="9" borderId="3" xfId="0" applyNumberFormat="1" applyFont="1" applyFill="1" applyBorder="1" applyAlignment="1">
      <alignment horizontal="left" vertical="center" wrapText="1" indent="2"/>
    </xf>
    <xf numFmtId="165" fontId="47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0" fontId="38" fillId="13" borderId="0" xfId="24"/>
    <xf numFmtId="3" fontId="17" fillId="0" borderId="21" xfId="0" applyNumberFormat="1" applyFont="1" applyBorder="1"/>
    <xf numFmtId="3" fontId="17" fillId="0" borderId="31" xfId="0" applyNumberFormat="1" applyFont="1" applyBorder="1"/>
    <xf numFmtId="0" fontId="17" fillId="0" borderId="22" xfId="0" applyFont="1" applyBorder="1"/>
    <xf numFmtId="0" fontId="48" fillId="0" borderId="0" xfId="22" applyFont="1" applyBorder="1"/>
    <xf numFmtId="0" fontId="48" fillId="0" borderId="0" xfId="22" applyFont="1"/>
    <xf numFmtId="0" fontId="17" fillId="0" borderId="1" xfId="0" applyFont="1" applyBorder="1"/>
    <xf numFmtId="167" fontId="48" fillId="0" borderId="0" xfId="30" applyNumberFormat="1" applyFont="1"/>
    <xf numFmtId="0" fontId="49" fillId="0" borderId="1" xfId="30" applyFont="1" applyBorder="1" applyAlignment="1">
      <alignment horizontal="left"/>
    </xf>
    <xf numFmtId="0" fontId="48" fillId="0" borderId="1" xfId="30" applyFont="1" applyBorder="1" applyAlignment="1">
      <alignment horizontal="left" indent="1"/>
    </xf>
    <xf numFmtId="167" fontId="48" fillId="0" borderId="0" xfId="30" applyNumberFormat="1" applyFont="1" applyFill="1"/>
    <xf numFmtId="3" fontId="19" fillId="0" borderId="16" xfId="0" applyNumberFormat="1" applyFont="1" applyFill="1" applyBorder="1" applyAlignment="1"/>
    <xf numFmtId="3" fontId="19" fillId="0" borderId="1" xfId="0" applyNumberFormat="1" applyFont="1" applyFill="1" applyBorder="1" applyAlignment="1"/>
    <xf numFmtId="9" fontId="19" fillId="0" borderId="1" xfId="1" applyFont="1" applyFill="1" applyBorder="1" applyAlignment="1"/>
    <xf numFmtId="3" fontId="19" fillId="0" borderId="9" xfId="0" applyNumberFormat="1" applyFont="1" applyFill="1" applyBorder="1" applyAlignment="1"/>
    <xf numFmtId="9" fontId="19" fillId="0" borderId="9" xfId="1" applyFont="1" applyFill="1" applyBorder="1" applyAlignment="1"/>
    <xf numFmtId="169" fontId="17" fillId="0" borderId="8" xfId="1" applyNumberFormat="1" applyFont="1" applyFill="1" applyBorder="1"/>
    <xf numFmtId="3" fontId="17" fillId="0" borderId="14" xfId="0" applyNumberFormat="1" applyFont="1" applyFill="1" applyBorder="1" applyAlignment="1"/>
    <xf numFmtId="9" fontId="17" fillId="0" borderId="12" xfId="1" applyFont="1" applyFill="1" applyBorder="1"/>
    <xf numFmtId="0" fontId="12" fillId="0" borderId="0" xfId="13" applyFill="1"/>
    <xf numFmtId="9" fontId="19" fillId="0" borderId="3" xfId="1" applyFont="1" applyFill="1" applyBorder="1" applyAlignment="1"/>
    <xf numFmtId="43" fontId="17" fillId="0" borderId="1" xfId="0" applyNumberFormat="1" applyFont="1" applyBorder="1" applyAlignment="1">
      <alignment horizontal="center"/>
    </xf>
    <xf numFmtId="166" fontId="17" fillId="0" borderId="1" xfId="0" quotePrefix="1" applyNumberFormat="1" applyFont="1" applyBorder="1" applyAlignment="1">
      <alignment horizontal="center"/>
    </xf>
    <xf numFmtId="0" fontId="17" fillId="2" borderId="0" xfId="0" quotePrefix="1" applyFont="1" applyFill="1" applyBorder="1" applyAlignment="1">
      <alignment horizontal="justify" vertical="top"/>
    </xf>
    <xf numFmtId="0" fontId="48" fillId="0" borderId="1" xfId="30" applyFont="1" applyFill="1" applyBorder="1" applyAlignment="1">
      <alignment horizontal="left" indent="2"/>
    </xf>
    <xf numFmtId="167" fontId="48" fillId="0" borderId="1" xfId="30" applyNumberFormat="1" applyFont="1" applyFill="1" applyBorder="1"/>
    <xf numFmtId="0" fontId="48" fillId="0" borderId="1" xfId="30" applyFont="1" applyBorder="1" applyAlignment="1">
      <alignment horizontal="left" indent="2"/>
    </xf>
    <xf numFmtId="43" fontId="19" fillId="0" borderId="0" xfId="13" applyNumberFormat="1" applyFont="1" applyBorder="1" applyAlignment="1">
      <alignment horizontal="left" vertical="center" wrapText="1" indent="4"/>
    </xf>
    <xf numFmtId="41" fontId="22" fillId="0" borderId="0" xfId="0" applyNumberFormat="1" applyFont="1"/>
    <xf numFmtId="0" fontId="39" fillId="0" borderId="0" xfId="13" applyFont="1"/>
    <xf numFmtId="165" fontId="39" fillId="0" borderId="0" xfId="13" applyNumberFormat="1" applyFont="1"/>
    <xf numFmtId="0" fontId="37" fillId="0" borderId="54" xfId="0" applyFont="1" applyBorder="1"/>
    <xf numFmtId="0" fontId="22" fillId="14" borderId="54" xfId="0" applyFont="1" applyFill="1" applyBorder="1" applyAlignment="1">
      <alignment horizontal="center"/>
    </xf>
    <xf numFmtId="0" fontId="22" fillId="14" borderId="55" xfId="0" applyFont="1" applyFill="1" applyBorder="1" applyAlignment="1">
      <alignment horizontal="center"/>
    </xf>
    <xf numFmtId="0" fontId="39" fillId="10" borderId="54" xfId="0" applyFont="1" applyFill="1" applyBorder="1" applyAlignment="1">
      <alignment horizontal="left" indent="1"/>
    </xf>
    <xf numFmtId="0" fontId="0" fillId="14" borderId="54" xfId="0" applyFill="1" applyBorder="1" applyAlignment="1">
      <alignment horizontal="left" indent="2"/>
    </xf>
    <xf numFmtId="43" fontId="0" fillId="0" borderId="54" xfId="0" applyNumberFormat="1" applyBorder="1"/>
    <xf numFmtId="43" fontId="0" fillId="0" borderId="55" xfId="0" applyNumberFormat="1" applyBorder="1"/>
    <xf numFmtId="0" fontId="0" fillId="0" borderId="55" xfId="0" applyFill="1" applyBorder="1" applyAlignment="1">
      <alignment horizontal="left" indent="2"/>
    </xf>
    <xf numFmtId="43" fontId="0" fillId="0" borderId="56" xfId="0" applyNumberFormat="1" applyFill="1" applyBorder="1"/>
    <xf numFmtId="43" fontId="0" fillId="0" borderId="56" xfId="0" applyNumberFormat="1" applyBorder="1"/>
    <xf numFmtId="43" fontId="0" fillId="0" borderId="0" xfId="0" applyNumberFormat="1" applyBorder="1"/>
    <xf numFmtId="43" fontId="53" fillId="0" borderId="0" xfId="0" applyNumberFormat="1" applyFont="1" applyFill="1" applyBorder="1"/>
    <xf numFmtId="0" fontId="0" fillId="0" borderId="56" xfId="0" applyFill="1" applyBorder="1" applyAlignment="1">
      <alignment horizontal="left" indent="2"/>
    </xf>
    <xf numFmtId="0" fontId="54" fillId="0" borderId="0" xfId="0" applyFont="1" applyFill="1" applyBorder="1" applyAlignment="1">
      <alignment horizontal="right" indent="2"/>
    </xf>
    <xf numFmtId="0" fontId="0" fillId="0" borderId="0" xfId="0" applyBorder="1"/>
    <xf numFmtId="0" fontId="55" fillId="0" borderId="0" xfId="22" applyFont="1"/>
    <xf numFmtId="43" fontId="17" fillId="0" borderId="0" xfId="0" applyNumberFormat="1" applyFont="1"/>
    <xf numFmtId="0" fontId="18" fillId="0" borderId="59" xfId="0" applyFont="1" applyBorder="1" applyAlignment="1">
      <alignment horizontal="center"/>
    </xf>
    <xf numFmtId="0" fontId="57" fillId="0" borderId="0" xfId="13" applyFont="1" applyBorder="1" applyAlignment="1">
      <alignment horizontal="left" vertical="center" wrapText="1" indent="4"/>
    </xf>
    <xf numFmtId="167" fontId="12" fillId="0" borderId="0" xfId="29" applyNumberFormat="1" applyFont="1" applyAlignment="1">
      <alignment horizontal="center" vertical="center"/>
    </xf>
    <xf numFmtId="167" fontId="31" fillId="0" borderId="1" xfId="29" applyNumberFormat="1" applyFont="1" applyBorder="1" applyAlignment="1">
      <alignment vertical="center"/>
    </xf>
    <xf numFmtId="167" fontId="19" fillId="0" borderId="1" xfId="29" applyNumberFormat="1" applyFont="1" applyFill="1" applyBorder="1" applyAlignment="1">
      <alignment vertical="center"/>
    </xf>
    <xf numFmtId="167" fontId="33" fillId="0" borderId="1" xfId="29" applyNumberFormat="1" applyFont="1" applyFill="1" applyBorder="1" applyAlignment="1">
      <alignment horizontal="left" vertical="center" indent="2"/>
    </xf>
    <xf numFmtId="167" fontId="19" fillId="0" borderId="0" xfId="29" applyNumberFormat="1" applyFont="1" applyBorder="1" applyAlignment="1">
      <alignment horizontal="left" vertical="center" wrapText="1" indent="4"/>
    </xf>
    <xf numFmtId="167" fontId="19" fillId="0" borderId="30" xfId="29" applyNumberFormat="1" applyFont="1" applyFill="1" applyBorder="1" applyAlignment="1">
      <alignment vertical="center"/>
    </xf>
    <xf numFmtId="167" fontId="19" fillId="0" borderId="0" xfId="29" applyNumberFormat="1" applyFont="1" applyFill="1" applyBorder="1" applyAlignment="1">
      <alignment vertical="center"/>
    </xf>
    <xf numFmtId="167" fontId="12" fillId="0" borderId="0" xfId="29" applyNumberFormat="1" applyFont="1"/>
    <xf numFmtId="167" fontId="17" fillId="0" borderId="13" xfId="29" applyNumberFormat="1" applyFont="1" applyBorder="1" applyAlignment="1">
      <alignment vertical="center"/>
    </xf>
    <xf numFmtId="167" fontId="17" fillId="0" borderId="14" xfId="29" applyNumberFormat="1" applyFont="1" applyBorder="1" applyAlignment="1">
      <alignment vertical="center"/>
    </xf>
    <xf numFmtId="167" fontId="28" fillId="0" borderId="30" xfId="29" applyNumberFormat="1" applyFont="1" applyFill="1" applyBorder="1" applyAlignment="1">
      <alignment vertical="center"/>
    </xf>
    <xf numFmtId="167" fontId="28" fillId="0" borderId="1" xfId="29" applyNumberFormat="1" applyFont="1" applyFill="1" applyBorder="1" applyAlignment="1">
      <alignment vertical="center"/>
    </xf>
    <xf numFmtId="167" fontId="32" fillId="0" borderId="1" xfId="29" applyNumberFormat="1" applyFont="1" applyBorder="1" applyAlignment="1">
      <alignment vertical="center"/>
    </xf>
    <xf numFmtId="167" fontId="17" fillId="0" borderId="1" xfId="29" applyNumberFormat="1" applyFont="1" applyBorder="1" applyAlignment="1">
      <alignment vertical="center"/>
    </xf>
    <xf numFmtId="167" fontId="17" fillId="0" borderId="1" xfId="29" applyNumberFormat="1" applyFont="1" applyFill="1" applyBorder="1" applyAlignment="1">
      <alignment vertical="center"/>
    </xf>
    <xf numFmtId="167" fontId="30" fillId="6" borderId="1" xfId="29" applyNumberFormat="1" applyFont="1" applyFill="1" applyBorder="1" applyAlignment="1">
      <alignment horizontal="left" vertical="center" wrapText="1" indent="2"/>
    </xf>
    <xf numFmtId="167" fontId="18" fillId="0" borderId="1" xfId="29" applyNumberFormat="1" applyFont="1" applyBorder="1" applyAlignment="1">
      <alignment vertical="center"/>
    </xf>
    <xf numFmtId="167" fontId="18" fillId="0" borderId="1" xfId="29" applyNumberFormat="1" applyFont="1" applyFill="1" applyBorder="1" applyAlignment="1">
      <alignment vertical="center"/>
    </xf>
    <xf numFmtId="167" fontId="17" fillId="9" borderId="0" xfId="29" applyNumberFormat="1" applyFont="1" applyFill="1" applyBorder="1" applyAlignment="1">
      <alignment horizontal="center" vertical="center"/>
    </xf>
    <xf numFmtId="167" fontId="17" fillId="0" borderId="0" xfId="29" applyNumberFormat="1" applyFont="1" applyFill="1" applyBorder="1" applyAlignment="1">
      <alignment horizontal="center"/>
    </xf>
    <xf numFmtId="167" fontId="17" fillId="0" borderId="0" xfId="29" applyNumberFormat="1" applyFont="1" applyBorder="1" applyAlignment="1">
      <alignment vertical="center"/>
    </xf>
    <xf numFmtId="167" fontId="18" fillId="0" borderId="12" xfId="29" applyNumberFormat="1" applyFont="1" applyFill="1" applyBorder="1" applyAlignment="1">
      <alignment horizontal="center" vertical="center"/>
    </xf>
    <xf numFmtId="167" fontId="18" fillId="0" borderId="0" xfId="29" applyNumberFormat="1" applyFont="1" applyFill="1" applyBorder="1" applyAlignment="1">
      <alignment horizontal="center" vertical="center"/>
    </xf>
    <xf numFmtId="167" fontId="17" fillId="0" borderId="0" xfId="29" applyNumberFormat="1" applyFont="1" applyFill="1" applyBorder="1" applyAlignment="1">
      <alignment vertical="center"/>
    </xf>
    <xf numFmtId="167" fontId="34" fillId="0" borderId="0" xfId="29" applyNumberFormat="1" applyFont="1" applyAlignment="1">
      <alignment horizontal="center" vertical="center"/>
    </xf>
    <xf numFmtId="167" fontId="34" fillId="0" borderId="0" xfId="29" applyNumberFormat="1" applyFont="1"/>
    <xf numFmtId="167" fontId="34" fillId="0" borderId="0" xfId="29" applyNumberFormat="1" applyFont="1" applyAlignment="1">
      <alignment vertical="top" wrapText="1"/>
    </xf>
    <xf numFmtId="165" fontId="18" fillId="2" borderId="0" xfId="0" applyNumberFormat="1" applyFont="1" applyFill="1" applyBorder="1" applyAlignment="1">
      <alignment horizontal="center" vertical="center"/>
    </xf>
    <xf numFmtId="167" fontId="18" fillId="2" borderId="0" xfId="29" applyNumberFormat="1" applyFont="1" applyFill="1" applyBorder="1" applyAlignment="1">
      <alignment horizontal="center" vertical="center"/>
    </xf>
    <xf numFmtId="0" fontId="22" fillId="0" borderId="0" xfId="13" applyFont="1"/>
    <xf numFmtId="0" fontId="58" fillId="0" borderId="0" xfId="0" applyFont="1"/>
    <xf numFmtId="0" fontId="57" fillId="0" borderId="1" xfId="13" applyFont="1" applyBorder="1" applyAlignment="1">
      <alignment horizontal="left" vertical="center" wrapText="1" indent="4"/>
    </xf>
    <xf numFmtId="167" fontId="57" fillId="0" borderId="1" xfId="29" applyNumberFormat="1" applyFont="1" applyFill="1" applyBorder="1" applyAlignment="1">
      <alignment vertical="center"/>
    </xf>
    <xf numFmtId="0" fontId="22" fillId="0" borderId="0" xfId="13" applyFont="1" applyFill="1"/>
    <xf numFmtId="0" fontId="30" fillId="0" borderId="1" xfId="13" applyFont="1" applyFill="1" applyBorder="1" applyAlignment="1">
      <alignment horizontal="left" vertical="center" wrapText="1" indent="2"/>
    </xf>
    <xf numFmtId="0" fontId="17" fillId="0" borderId="0" xfId="0" applyFont="1" applyBorder="1" applyAlignment="1">
      <alignment wrapText="1"/>
    </xf>
    <xf numFmtId="0" fontId="30" fillId="0" borderId="1" xfId="25" applyFont="1" applyFill="1" applyBorder="1" applyAlignment="1">
      <alignment horizontal="left" vertical="center" wrapText="1" indent="4"/>
    </xf>
    <xf numFmtId="167" fontId="59" fillId="0" borderId="1" xfId="29" applyNumberFormat="1" applyFont="1" applyFill="1" applyBorder="1" applyAlignment="1">
      <alignment horizontal="left" vertical="center" indent="2"/>
    </xf>
    <xf numFmtId="167" fontId="57" fillId="0" borderId="30" xfId="29" applyNumberFormat="1" applyFont="1" applyFill="1" applyBorder="1" applyAlignment="1">
      <alignment vertical="center"/>
    </xf>
    <xf numFmtId="43" fontId="57" fillId="0" borderId="0" xfId="13" applyNumberFormat="1" applyFont="1" applyBorder="1" applyAlignment="1">
      <alignment horizontal="left" vertical="center" wrapText="1" indent="4"/>
    </xf>
    <xf numFmtId="43" fontId="22" fillId="0" borderId="0" xfId="13" applyNumberFormat="1" applyFont="1"/>
    <xf numFmtId="0" fontId="50" fillId="17" borderId="0" xfId="38" applyFont="1" applyFill="1" applyAlignment="1">
      <alignment horizontal="left" vertical="center" indent="1"/>
    </xf>
    <xf numFmtId="0" fontId="3" fillId="17" borderId="0" xfId="38" applyFill="1"/>
    <xf numFmtId="0" fontId="3" fillId="0" borderId="0" xfId="38"/>
    <xf numFmtId="0" fontId="22" fillId="18" borderId="50" xfId="38" applyFont="1" applyFill="1" applyBorder="1"/>
    <xf numFmtId="0" fontId="22" fillId="0" borderId="0" xfId="38" applyFont="1" applyAlignment="1">
      <alignment horizontal="left"/>
    </xf>
    <xf numFmtId="41" fontId="3" fillId="0" borderId="0" xfId="38" applyNumberFormat="1" applyFill="1"/>
    <xf numFmtId="41" fontId="22" fillId="0" borderId="0" xfId="38" applyNumberFormat="1" applyFont="1" applyFill="1"/>
    <xf numFmtId="41" fontId="3" fillId="0" borderId="0" xfId="38" applyNumberFormat="1"/>
    <xf numFmtId="43" fontId="3" fillId="0" borderId="0" xfId="38" quotePrefix="1" applyNumberFormat="1"/>
    <xf numFmtId="0" fontId="3" fillId="0" borderId="0" xfId="38" quotePrefix="1"/>
    <xf numFmtId="43" fontId="3" fillId="0" borderId="0" xfId="38" applyNumberFormat="1"/>
    <xf numFmtId="170" fontId="0" fillId="0" borderId="0" xfId="40" applyNumberFormat="1" applyFont="1"/>
    <xf numFmtId="0" fontId="43" fillId="0" borderId="0" xfId="38" applyFont="1"/>
    <xf numFmtId="0" fontId="57" fillId="0" borderId="1" xfId="25" applyFont="1" applyFill="1" applyBorder="1" applyAlignment="1">
      <alignment horizontal="left" vertical="center" wrapText="1" indent="4"/>
    </xf>
    <xf numFmtId="0" fontId="22" fillId="0" borderId="0" xfId="13" applyFont="1" applyFill="1" applyAlignment="1"/>
    <xf numFmtId="0" fontId="57" fillId="0" borderId="1" xfId="13" applyFont="1" applyFill="1" applyBorder="1" applyAlignment="1">
      <alignment horizontal="left" vertical="center" wrapText="1" indent="4"/>
    </xf>
    <xf numFmtId="1" fontId="17" fillId="0" borderId="0" xfId="0" applyNumberFormat="1" applyFont="1" applyBorder="1" applyAlignment="1">
      <alignment horizontal="center"/>
    </xf>
    <xf numFmtId="167" fontId="17" fillId="0" borderId="0" xfId="29" applyNumberFormat="1" applyFont="1" applyBorder="1"/>
    <xf numFmtId="167" fontId="48" fillId="0" borderId="0" xfId="30" applyNumberFormat="1" applyFont="1" applyBorder="1"/>
    <xf numFmtId="1" fontId="18" fillId="0" borderId="1" xfId="0" applyNumberFormat="1" applyFont="1" applyBorder="1" applyAlignment="1">
      <alignment horizontal="center"/>
    </xf>
    <xf numFmtId="167" fontId="18" fillId="0" borderId="1" xfId="29" applyNumberFormat="1" applyFont="1" applyBorder="1"/>
    <xf numFmtId="167" fontId="17" fillId="0" borderId="0" xfId="0" applyNumberFormat="1" applyFont="1"/>
    <xf numFmtId="0" fontId="18" fillId="0" borderId="1" xfId="0" applyFont="1" applyBorder="1"/>
    <xf numFmtId="0" fontId="17" fillId="0" borderId="1" xfId="0" applyFont="1" applyBorder="1" applyAlignment="1">
      <alignment wrapText="1"/>
    </xf>
    <xf numFmtId="165" fontId="18" fillId="2" borderId="1" xfId="0" applyNumberFormat="1" applyFont="1" applyFill="1" applyBorder="1" applyAlignment="1">
      <alignment horizontal="center" vertical="top" wrapText="1"/>
    </xf>
    <xf numFmtId="165" fontId="17" fillId="2" borderId="1" xfId="0" applyNumberFormat="1" applyFont="1" applyFill="1" applyBorder="1" applyAlignment="1">
      <alignment horizontal="center" vertical="top" wrapText="1"/>
    </xf>
    <xf numFmtId="165" fontId="17" fillId="11" borderId="1" xfId="0" applyNumberFormat="1" applyFont="1" applyFill="1" applyBorder="1" applyAlignment="1">
      <alignment horizontal="center" vertical="top" wrapText="1"/>
    </xf>
    <xf numFmtId="165" fontId="17" fillId="2" borderId="1" xfId="0" applyNumberFormat="1" applyFont="1" applyFill="1" applyBorder="1" applyAlignment="1">
      <alignment horizontal="justify" vertical="top"/>
    </xf>
    <xf numFmtId="3" fontId="18" fillId="0" borderId="1" xfId="0" applyNumberFormat="1" applyFont="1" applyFill="1" applyBorder="1"/>
    <xf numFmtId="0" fontId="18" fillId="0" borderId="0" xfId="0" applyFont="1"/>
    <xf numFmtId="0" fontId="55" fillId="0" borderId="0" xfId="13" applyFont="1"/>
    <xf numFmtId="0" fontId="56" fillId="0" borderId="0" xfId="13" applyFont="1"/>
    <xf numFmtId="0" fontId="56" fillId="0" borderId="1" xfId="0" applyFont="1" applyFill="1" applyBorder="1" applyAlignment="1">
      <alignment vertical="top"/>
    </xf>
    <xf numFmtId="0" fontId="55" fillId="0" borderId="1" xfId="0" applyFont="1" applyFill="1" applyBorder="1" applyAlignment="1"/>
    <xf numFmtId="0" fontId="56" fillId="0" borderId="0" xfId="13" applyFont="1" applyFill="1"/>
    <xf numFmtId="0" fontId="55" fillId="0" borderId="0" xfId="13" applyFont="1" applyFill="1"/>
    <xf numFmtId="172" fontId="34" fillId="0" borderId="0" xfId="1" applyNumberFormat="1" applyFont="1" applyAlignment="1">
      <alignment vertical="top" wrapText="1"/>
    </xf>
    <xf numFmtId="173" fontId="34" fillId="0" borderId="0" xfId="29" applyNumberFormat="1" applyFont="1" applyAlignment="1">
      <alignment vertical="top" wrapText="1"/>
    </xf>
    <xf numFmtId="10" fontId="17" fillId="0" borderId="0" xfId="0" applyNumberFormat="1" applyFont="1"/>
    <xf numFmtId="9" fontId="17" fillId="0" borderId="0" xfId="0" applyNumberFormat="1" applyFont="1"/>
    <xf numFmtId="171" fontId="60" fillId="0" borderId="0" xfId="29" applyNumberFormat="1" applyFont="1" applyAlignment="1">
      <alignment horizontal="center" vertical="center"/>
    </xf>
    <xf numFmtId="9" fontId="17" fillId="0" borderId="0" xfId="1" applyFont="1" applyBorder="1"/>
    <xf numFmtId="9" fontId="17" fillId="0" borderId="0" xfId="1" applyFont="1" applyFill="1" applyBorder="1"/>
    <xf numFmtId="167" fontId="17" fillId="0" borderId="0" xfId="29" applyNumberFormat="1" applyFont="1" applyBorder="1" applyAlignment="1">
      <alignment horizontal="center"/>
    </xf>
    <xf numFmtId="0" fontId="36" fillId="0" borderId="0" xfId="0" applyFont="1" applyBorder="1"/>
    <xf numFmtId="0" fontId="45" fillId="0" borderId="0" xfId="0" applyFont="1" applyBorder="1" applyAlignment="1">
      <alignment horizontal="center"/>
    </xf>
    <xf numFmtId="166" fontId="61" fillId="8" borderId="9" xfId="0" applyNumberFormat="1" applyFont="1" applyFill="1" applyBorder="1" applyAlignment="1">
      <alignment horizontal="center" vertical="center" wrapText="1"/>
    </xf>
    <xf numFmtId="0" fontId="17" fillId="17" borderId="0" xfId="0" applyFont="1" applyFill="1" applyBorder="1"/>
    <xf numFmtId="167" fontId="49" fillId="0" borderId="1" xfId="30" applyNumberFormat="1" applyFont="1" applyFill="1" applyBorder="1"/>
    <xf numFmtId="0" fontId="50" fillId="19" borderId="0" xfId="38" applyFont="1" applyFill="1" applyAlignment="1">
      <alignment horizontal="left" vertical="center" indent="1"/>
    </xf>
    <xf numFmtId="0" fontId="3" fillId="19" borderId="0" xfId="38" applyFill="1"/>
    <xf numFmtId="0" fontId="17" fillId="17" borderId="0" xfId="0" applyFont="1" applyFill="1"/>
    <xf numFmtId="0" fontId="0" fillId="0" borderId="0" xfId="0" applyFill="1"/>
    <xf numFmtId="3" fontId="17" fillId="0" borderId="0" xfId="0" applyNumberFormat="1" applyFont="1" applyFill="1" applyAlignment="1"/>
    <xf numFmtId="41" fontId="62" fillId="15" borderId="41" xfId="0" applyNumberFormat="1" applyFont="1" applyFill="1" applyBorder="1"/>
    <xf numFmtId="41" fontId="62" fillId="15" borderId="42" xfId="0" applyNumberFormat="1" applyFont="1" applyFill="1" applyBorder="1"/>
    <xf numFmtId="41" fontId="62" fillId="10" borderId="40" xfId="0" applyNumberFormat="1" applyFont="1" applyFill="1" applyBorder="1"/>
    <xf numFmtId="0" fontId="62" fillId="14" borderId="24" xfId="0" applyFont="1" applyFill="1" applyBorder="1" applyAlignment="1">
      <alignment horizontal="left" indent="2"/>
    </xf>
    <xf numFmtId="0" fontId="62" fillId="14" borderId="46" xfId="0" applyFont="1" applyFill="1" applyBorder="1" applyAlignment="1">
      <alignment horizontal="left" indent="2"/>
    </xf>
    <xf numFmtId="175" fontId="22" fillId="15" borderId="46" xfId="0" applyNumberFormat="1" applyFont="1" applyFill="1" applyBorder="1"/>
    <xf numFmtId="3" fontId="17" fillId="0" borderId="1" xfId="0" applyNumberFormat="1" applyFont="1" applyFill="1" applyBorder="1"/>
    <xf numFmtId="170" fontId="17" fillId="0" borderId="0" xfId="1" applyNumberFormat="1" applyFont="1" applyBorder="1" applyAlignment="1">
      <alignment horizontal="center"/>
    </xf>
    <xf numFmtId="0" fontId="41" fillId="0" borderId="0" xfId="0" applyFont="1"/>
    <xf numFmtId="0" fontId="39" fillId="16" borderId="19" xfId="0" applyFont="1" applyFill="1" applyBorder="1"/>
    <xf numFmtId="41" fontId="39" fillId="10" borderId="23" xfId="0" applyNumberFormat="1" applyFont="1" applyFill="1" applyBorder="1"/>
    <xf numFmtId="0" fontId="22" fillId="14" borderId="24" xfId="0" applyFont="1" applyFill="1" applyBorder="1" applyAlignment="1">
      <alignment horizontal="left" indent="2"/>
    </xf>
    <xf numFmtId="0" fontId="22" fillId="14" borderId="46" xfId="0" applyFont="1" applyFill="1" applyBorder="1" applyAlignment="1">
      <alignment horizontal="left" indent="2"/>
    </xf>
    <xf numFmtId="0" fontId="39" fillId="10" borderId="51" xfId="0" applyFont="1" applyFill="1" applyBorder="1" applyAlignment="1">
      <alignment horizontal="left" indent="1"/>
    </xf>
    <xf numFmtId="41" fontId="22" fillId="14" borderId="6" xfId="0" applyNumberFormat="1" applyFont="1" applyFill="1" applyBorder="1"/>
    <xf numFmtId="41" fontId="22" fillId="14" borderId="52" xfId="0" applyNumberFormat="1" applyFont="1" applyFill="1" applyBorder="1"/>
    <xf numFmtId="41" fontId="22" fillId="15" borderId="51" xfId="0" applyNumberFormat="1" applyFont="1" applyFill="1" applyBorder="1"/>
    <xf numFmtId="0" fontId="22" fillId="20" borderId="36" xfId="0" applyFont="1" applyFill="1" applyBorder="1" applyAlignment="1">
      <alignment horizontal="center"/>
    </xf>
    <xf numFmtId="0" fontId="42" fillId="20" borderId="37" xfId="0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43" fontId="22" fillId="20" borderId="41" xfId="0" applyNumberFormat="1" applyFont="1" applyFill="1" applyBorder="1"/>
    <xf numFmtId="43" fontId="22" fillId="20" borderId="42" xfId="0" applyNumberFormat="1" applyFont="1" applyFill="1" applyBorder="1"/>
    <xf numFmtId="43" fontId="22" fillId="21" borderId="40" xfId="0" applyNumberFormat="1" applyFont="1" applyFill="1" applyBorder="1"/>
    <xf numFmtId="43" fontId="62" fillId="15" borderId="41" xfId="0" applyNumberFormat="1" applyFont="1" applyFill="1" applyBorder="1"/>
    <xf numFmtId="43" fontId="62" fillId="15" borderId="42" xfId="0" applyNumberFormat="1" applyFont="1" applyFill="1" applyBorder="1"/>
    <xf numFmtId="43" fontId="62" fillId="10" borderId="40" xfId="0" applyNumberFormat="1" applyFont="1" applyFill="1" applyBorder="1"/>
    <xf numFmtId="43" fontId="0" fillId="22" borderId="44" xfId="0" applyNumberFormat="1" applyFill="1" applyBorder="1"/>
    <xf numFmtId="43" fontId="0" fillId="22" borderId="45" xfId="0" applyNumberFormat="1" applyFill="1" applyBorder="1"/>
    <xf numFmtId="43" fontId="22" fillId="20" borderId="43" xfId="0" applyNumberFormat="1" applyFont="1" applyFill="1" applyBorder="1"/>
    <xf numFmtId="43" fontId="0" fillId="22" borderId="11" xfId="0" applyNumberFormat="1" applyFill="1" applyBorder="1"/>
    <xf numFmtId="43" fontId="0" fillId="22" borderId="3" xfId="0" applyNumberFormat="1" applyFill="1" applyBorder="1"/>
    <xf numFmtId="43" fontId="44" fillId="20" borderId="43" xfId="0" applyNumberFormat="1" applyFont="1" applyFill="1" applyBorder="1"/>
    <xf numFmtId="41" fontId="62" fillId="17" borderId="42" xfId="0" applyNumberFormat="1" applyFont="1" applyFill="1" applyBorder="1"/>
    <xf numFmtId="41" fontId="62" fillId="17" borderId="41" xfId="0" applyNumberFormat="1" applyFont="1" applyFill="1" applyBorder="1"/>
    <xf numFmtId="10" fontId="31" fillId="0" borderId="0" xfId="1" applyNumberFormat="1" applyFont="1" applyFill="1" applyBorder="1" applyAlignment="1">
      <alignment vertical="center"/>
    </xf>
    <xf numFmtId="167" fontId="12" fillId="0" borderId="0" xfId="13" applyNumberFormat="1"/>
    <xf numFmtId="167" fontId="0" fillId="0" borderId="0" xfId="0" applyNumberFormat="1"/>
    <xf numFmtId="167" fontId="18" fillId="0" borderId="0" xfId="0" applyNumberFormat="1" applyFont="1"/>
    <xf numFmtId="167" fontId="18" fillId="0" borderId="0" xfId="0" applyNumberFormat="1" applyFont="1" applyBorder="1" applyAlignment="1">
      <alignment horizontal="left" indent="1"/>
    </xf>
    <xf numFmtId="167" fontId="17" fillId="0" borderId="0" xfId="0" applyNumberFormat="1" applyFont="1" applyBorder="1" applyAlignment="1">
      <alignment horizontal="left" indent="1"/>
    </xf>
    <xf numFmtId="168" fontId="0" fillId="0" borderId="0" xfId="0" applyNumberFormat="1" applyFont="1" applyBorder="1"/>
    <xf numFmtId="176" fontId="0" fillId="0" borderId="0" xfId="0" applyNumberFormat="1" applyAlignment="1">
      <alignment horizontal="center"/>
    </xf>
    <xf numFmtId="43" fontId="17" fillId="0" borderId="0" xfId="0" applyNumberFormat="1" applyFont="1" applyBorder="1"/>
    <xf numFmtId="0" fontId="48" fillId="0" borderId="1" xfId="30" applyFont="1" applyBorder="1" applyAlignment="1">
      <alignment horizontal="left"/>
    </xf>
    <xf numFmtId="177" fontId="17" fillId="0" borderId="30" xfId="13" applyNumberFormat="1" applyFont="1" applyFill="1" applyBorder="1" applyAlignment="1">
      <alignment horizontal="center" vertical="center"/>
    </xf>
    <xf numFmtId="3" fontId="17" fillId="0" borderId="1" xfId="0" quotePrefix="1" applyNumberFormat="1" applyFont="1" applyFill="1" applyBorder="1"/>
    <xf numFmtId="168" fontId="19" fillId="12" borderId="11" xfId="0" applyNumberFormat="1" applyFont="1" applyFill="1" applyBorder="1" applyAlignment="1">
      <alignment horizontal="left" vertical="center" wrapText="1" indent="2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justify" vertical="top"/>
    </xf>
    <xf numFmtId="0" fontId="65" fillId="0" borderId="0" xfId="42" applyFont="1" applyFill="1" applyBorder="1"/>
    <xf numFmtId="3" fontId="17" fillId="0" borderId="0" xfId="0" applyNumberFormat="1" applyFont="1" applyBorder="1"/>
    <xf numFmtId="177" fontId="18" fillId="17" borderId="0" xfId="13" applyNumberFormat="1" applyFont="1" applyFill="1" applyBorder="1" applyAlignment="1">
      <alignment vertical="center"/>
    </xf>
    <xf numFmtId="177" fontId="18" fillId="8" borderId="0" xfId="13" applyNumberFormat="1" applyFont="1" applyFill="1" applyBorder="1" applyAlignment="1">
      <alignment vertical="center"/>
    </xf>
    <xf numFmtId="177" fontId="18" fillId="0" borderId="0" xfId="13" applyNumberFormat="1" applyFont="1" applyFill="1" applyBorder="1" applyAlignment="1">
      <alignment vertical="center"/>
    </xf>
    <xf numFmtId="179" fontId="17" fillId="0" borderId="0" xfId="29" applyNumberFormat="1" applyFont="1" applyBorder="1"/>
    <xf numFmtId="180" fontId="17" fillId="0" borderId="0" xfId="0" applyNumberFormat="1" applyFont="1" applyBorder="1"/>
    <xf numFmtId="180" fontId="49" fillId="0" borderId="0" xfId="30" applyNumberFormat="1" applyFont="1" applyFill="1" applyBorder="1"/>
    <xf numFmtId="179" fontId="17" fillId="0" borderId="60" xfId="29" applyNumberFormat="1" applyFont="1" applyBorder="1"/>
    <xf numFmtId="180" fontId="18" fillId="0" borderId="0" xfId="0" applyNumberFormat="1" applyFont="1"/>
    <xf numFmtId="1" fontId="18" fillId="0" borderId="0" xfId="0" applyNumberFormat="1" applyFont="1" applyBorder="1" applyAlignment="1">
      <alignment horizontal="center"/>
    </xf>
    <xf numFmtId="167" fontId="18" fillId="0" borderId="0" xfId="29" applyNumberFormat="1" applyFont="1" applyBorder="1"/>
    <xf numFmtId="0" fontId="66" fillId="0" borderId="1" xfId="30" applyFont="1" applyBorder="1" applyAlignment="1">
      <alignment horizontal="left" indent="1"/>
    </xf>
    <xf numFmtId="171" fontId="18" fillId="0" borderId="0" xfId="29" applyNumberFormat="1" applyFont="1"/>
    <xf numFmtId="181" fontId="48" fillId="0" borderId="0" xfId="30" applyNumberFormat="1" applyFont="1" applyFill="1" applyBorder="1"/>
    <xf numFmtId="181" fontId="49" fillId="0" borderId="0" xfId="30" applyNumberFormat="1" applyFont="1" applyFill="1" applyBorder="1"/>
    <xf numFmtId="179" fontId="48" fillId="0" borderId="0" xfId="30" applyNumberFormat="1" applyFont="1" applyFill="1"/>
    <xf numFmtId="168" fontId="19" fillId="0" borderId="11" xfId="0" applyNumberFormat="1" applyFont="1" applyFill="1" applyBorder="1" applyAlignment="1">
      <alignment horizontal="left" vertical="center" wrapText="1" indent="2"/>
    </xf>
    <xf numFmtId="10" fontId="17" fillId="0" borderId="15" xfId="1" applyNumberFormat="1" applyFont="1" applyFill="1" applyBorder="1"/>
    <xf numFmtId="0" fontId="19" fillId="0" borderId="15" xfId="13" applyFont="1" applyFill="1" applyBorder="1" applyAlignment="1">
      <alignment horizontal="left" vertical="center" wrapText="1" indent="4"/>
    </xf>
    <xf numFmtId="0" fontId="19" fillId="0" borderId="3" xfId="13" applyFont="1" applyFill="1" applyBorder="1" applyAlignment="1">
      <alignment horizontal="left" vertical="center" wrapText="1" indent="4"/>
    </xf>
    <xf numFmtId="177" fontId="18" fillId="0" borderId="14" xfId="13" applyNumberFormat="1" applyFont="1" applyFill="1" applyBorder="1" applyAlignment="1">
      <alignment vertical="center"/>
    </xf>
    <xf numFmtId="177" fontId="17" fillId="0" borderId="1" xfId="13" applyNumberFormat="1" applyFont="1" applyFill="1" applyBorder="1" applyAlignment="1">
      <alignment horizontal="center" vertical="center"/>
    </xf>
    <xf numFmtId="177" fontId="18" fillId="0" borderId="1" xfId="13" applyNumberFormat="1" applyFont="1" applyFill="1" applyBorder="1" applyAlignment="1">
      <alignment vertical="center"/>
    </xf>
    <xf numFmtId="174" fontId="17" fillId="0" borderId="0" xfId="0" applyNumberFormat="1" applyFont="1" applyFill="1" applyAlignment="1">
      <alignment horizontal="center"/>
    </xf>
    <xf numFmtId="9" fontId="38" fillId="0" borderId="0" xfId="1" applyFont="1" applyFill="1" applyBorder="1"/>
    <xf numFmtId="0" fontId="48" fillId="0" borderId="1" xfId="30" applyFont="1" applyFill="1" applyBorder="1" applyAlignment="1">
      <alignment horizontal="left" indent="1"/>
    </xf>
    <xf numFmtId="167" fontId="48" fillId="0" borderId="0" xfId="22" applyNumberFormat="1" applyFont="1" applyFill="1"/>
    <xf numFmtId="179" fontId="17" fillId="0" borderId="0" xfId="29" applyNumberFormat="1" applyFont="1" applyFill="1" applyBorder="1"/>
    <xf numFmtId="179" fontId="18" fillId="0" borderId="0" xfId="29" applyNumberFormat="1" applyFont="1" applyFill="1" applyBorder="1"/>
    <xf numFmtId="180" fontId="67" fillId="0" borderId="0" xfId="30" applyNumberFormat="1" applyFont="1" applyFill="1"/>
    <xf numFmtId="43" fontId="48" fillId="0" borderId="0" xfId="29" applyFont="1" applyFill="1"/>
    <xf numFmtId="0" fontId="48" fillId="0" borderId="0" xfId="22" applyFont="1" applyFill="1"/>
    <xf numFmtId="43" fontId="48" fillId="0" borderId="60" xfId="29" applyFont="1" applyFill="1" applyBorder="1"/>
    <xf numFmtId="180" fontId="18" fillId="0" borderId="0" xfId="0" applyNumberFormat="1" applyFont="1" applyFill="1"/>
    <xf numFmtId="0" fontId="48" fillId="0" borderId="0" xfId="22" applyFont="1" applyFill="1" applyBorder="1"/>
    <xf numFmtId="0" fontId="3" fillId="0" borderId="0" xfId="38" applyFill="1"/>
    <xf numFmtId="43" fontId="3" fillId="0" borderId="0" xfId="38" applyNumberFormat="1" applyFill="1"/>
    <xf numFmtId="0" fontId="50" fillId="0" borderId="0" xfId="38" applyFont="1" applyFill="1" applyAlignment="1">
      <alignment horizontal="left" vertical="center" indent="1"/>
    </xf>
    <xf numFmtId="170" fontId="0" fillId="0" borderId="0" xfId="40" applyNumberFormat="1" applyFont="1" applyFill="1"/>
    <xf numFmtId="0" fontId="22" fillId="0" borderId="0" xfId="38" applyFont="1" applyFill="1" applyAlignment="1">
      <alignment wrapText="1"/>
    </xf>
    <xf numFmtId="167" fontId="22" fillId="0" borderId="0" xfId="38" applyNumberFormat="1" applyFont="1" applyFill="1"/>
    <xf numFmtId="0" fontId="22" fillId="0" borderId="0" xfId="38" applyFont="1" applyFill="1"/>
    <xf numFmtId="178" fontId="22" fillId="0" borderId="0" xfId="29" applyNumberFormat="1" applyFont="1" applyFill="1"/>
    <xf numFmtId="0" fontId="17" fillId="0" borderId="16" xfId="0" applyFont="1" applyFill="1" applyBorder="1"/>
    <xf numFmtId="0" fontId="17" fillId="0" borderId="9" xfId="0" applyFont="1" applyFill="1" applyBorder="1"/>
    <xf numFmtId="2" fontId="17" fillId="0" borderId="16" xfId="0" applyNumberFormat="1" applyFont="1" applyFill="1" applyBorder="1"/>
    <xf numFmtId="2" fontId="17" fillId="0" borderId="9" xfId="0" applyNumberFormat="1" applyFont="1" applyFill="1" applyBorder="1"/>
    <xf numFmtId="177" fontId="18" fillId="23" borderId="1" xfId="13" applyNumberFormat="1" applyFont="1" applyFill="1" applyBorder="1" applyAlignment="1">
      <alignment vertical="center"/>
    </xf>
    <xf numFmtId="0" fontId="66" fillId="0" borderId="0" xfId="13" applyFont="1"/>
    <xf numFmtId="0" fontId="69" fillId="0" borderId="1" xfId="25" applyFont="1" applyFill="1" applyBorder="1" applyAlignment="1">
      <alignment horizontal="left" vertical="center" wrapText="1" indent="6"/>
    </xf>
    <xf numFmtId="167" fontId="69" fillId="0" borderId="1" xfId="29" applyNumberFormat="1" applyFont="1" applyFill="1" applyBorder="1" applyAlignment="1">
      <alignment horizontal="left" vertical="center" indent="2"/>
    </xf>
    <xf numFmtId="167" fontId="68" fillId="17" borderId="0" xfId="29" applyNumberFormat="1" applyFont="1" applyFill="1"/>
    <xf numFmtId="177" fontId="63" fillId="17" borderId="0" xfId="13" applyNumberFormat="1" applyFont="1" applyFill="1" applyBorder="1" applyAlignment="1">
      <alignment vertical="center"/>
    </xf>
    <xf numFmtId="0" fontId="68" fillId="0" borderId="0" xfId="13" applyFont="1"/>
    <xf numFmtId="0" fontId="70" fillId="0" borderId="1" xfId="0" applyFont="1" applyFill="1" applyBorder="1" applyAlignment="1">
      <alignment vertical="top"/>
    </xf>
    <xf numFmtId="0" fontId="63" fillId="0" borderId="1" xfId="13" applyFont="1" applyBorder="1" applyAlignment="1">
      <alignment horizontal="left" vertical="center" wrapText="1" indent="4"/>
    </xf>
    <xf numFmtId="167" fontId="63" fillId="0" borderId="1" xfId="29" applyNumberFormat="1" applyFont="1" applyFill="1" applyBorder="1" applyAlignment="1">
      <alignment vertical="center"/>
    </xf>
    <xf numFmtId="177" fontId="63" fillId="8" borderId="0" xfId="13" applyNumberFormat="1" applyFont="1" applyFill="1" applyBorder="1" applyAlignment="1">
      <alignment vertical="center"/>
    </xf>
    <xf numFmtId="0" fontId="41" fillId="0" borderId="0" xfId="13" applyFont="1"/>
    <xf numFmtId="0" fontId="41" fillId="0" borderId="0" xfId="13" applyFont="1" applyFill="1"/>
    <xf numFmtId="167" fontId="24" fillId="0" borderId="1" xfId="29" applyNumberFormat="1" applyFont="1" applyFill="1" applyBorder="1" applyAlignment="1">
      <alignment vertical="center"/>
    </xf>
    <xf numFmtId="43" fontId="69" fillId="0" borderId="1" xfId="29" applyNumberFormat="1" applyFont="1" applyFill="1" applyBorder="1" applyAlignment="1">
      <alignment horizontal="left" vertical="center" indent="2"/>
    </xf>
    <xf numFmtId="0" fontId="24" fillId="0" borderId="1" xfId="13" applyFont="1" applyBorder="1" applyAlignment="1">
      <alignment horizontal="left" vertical="center" wrapText="1" indent="4"/>
    </xf>
    <xf numFmtId="170" fontId="17" fillId="0" borderId="0" xfId="1" applyNumberFormat="1" applyFont="1"/>
    <xf numFmtId="0" fontId="63" fillId="11" borderId="35" xfId="0" applyFont="1" applyFill="1" applyBorder="1" applyAlignment="1">
      <alignment horizontal="left" vertical="center"/>
    </xf>
    <xf numFmtId="0" fontId="72" fillId="10" borderId="33" xfId="0" applyFont="1" applyFill="1" applyBorder="1" applyAlignment="1">
      <alignment horizontal="center" vertical="center"/>
    </xf>
    <xf numFmtId="43" fontId="24" fillId="0" borderId="0" xfId="29" applyFont="1"/>
    <xf numFmtId="43" fontId="22" fillId="0" borderId="0" xfId="29" applyFont="1" applyFill="1"/>
    <xf numFmtId="167" fontId="22" fillId="0" borderId="0" xfId="29" applyNumberFormat="1" applyFont="1" applyFill="1"/>
    <xf numFmtId="181" fontId="48" fillId="24" borderId="0" xfId="30" applyNumberFormat="1" applyFont="1" applyFill="1" applyBorder="1"/>
    <xf numFmtId="178" fontId="22" fillId="24" borderId="0" xfId="29" applyNumberFormat="1" applyFont="1" applyFill="1"/>
    <xf numFmtId="182" fontId="17" fillId="0" borderId="0" xfId="0" applyNumberFormat="1" applyFont="1" applyBorder="1"/>
    <xf numFmtId="10" fontId="17" fillId="0" borderId="0" xfId="1" applyNumberFormat="1" applyFont="1" applyBorder="1"/>
    <xf numFmtId="10" fontId="17" fillId="0" borderId="0" xfId="1" applyNumberFormat="1" applyFont="1"/>
    <xf numFmtId="179" fontId="17" fillId="24" borderId="0" xfId="29" applyNumberFormat="1" applyFont="1" applyFill="1" applyBorder="1"/>
    <xf numFmtId="176" fontId="71" fillId="11" borderId="0" xfId="0" applyNumberFormat="1" applyFont="1" applyFill="1" applyAlignment="1">
      <alignment horizontal="center"/>
    </xf>
    <xf numFmtId="183" fontId="71" fillId="11" borderId="0" xfId="0" applyNumberFormat="1" applyFont="1" applyFill="1" applyAlignment="1">
      <alignment horizontal="center"/>
    </xf>
    <xf numFmtId="167" fontId="28" fillId="19" borderId="30" xfId="29" applyNumberFormat="1" applyFont="1" applyFill="1" applyBorder="1" applyAlignment="1">
      <alignment vertical="center"/>
    </xf>
    <xf numFmtId="167" fontId="17" fillId="19" borderId="1" xfId="29" applyNumberFormat="1" applyFont="1" applyFill="1" applyBorder="1" applyAlignment="1">
      <alignment vertical="center"/>
    </xf>
    <xf numFmtId="167" fontId="33" fillId="19" borderId="1" xfId="29" applyNumberFormat="1" applyFont="1" applyFill="1" applyBorder="1" applyAlignment="1">
      <alignment horizontal="left" vertical="center" indent="2"/>
    </xf>
    <xf numFmtId="167" fontId="18" fillId="19" borderId="12" xfId="29" applyNumberFormat="1" applyFont="1" applyFill="1" applyBorder="1" applyAlignment="1">
      <alignment horizontal="center" vertical="center"/>
    </xf>
    <xf numFmtId="167" fontId="63" fillId="19" borderId="1" xfId="29" applyNumberFormat="1" applyFont="1" applyFill="1" applyBorder="1" applyAlignment="1">
      <alignment vertical="center"/>
    </xf>
    <xf numFmtId="167" fontId="57" fillId="19" borderId="1" xfId="29" applyNumberFormat="1" applyFont="1" applyFill="1" applyBorder="1" applyAlignment="1">
      <alignment vertical="center"/>
    </xf>
    <xf numFmtId="3" fontId="63" fillId="19" borderId="1" xfId="29" applyNumberFormat="1" applyFont="1" applyFill="1" applyBorder="1" applyAlignment="1">
      <alignment vertical="center"/>
    </xf>
    <xf numFmtId="164" fontId="63" fillId="19" borderId="1" xfId="29" applyNumberFormat="1" applyFont="1" applyFill="1" applyBorder="1" applyAlignment="1">
      <alignment vertical="center"/>
    </xf>
    <xf numFmtId="167" fontId="49" fillId="19" borderId="1" xfId="30" applyNumberFormat="1" applyFont="1" applyFill="1" applyBorder="1"/>
    <xf numFmtId="167" fontId="48" fillId="19" borderId="1" xfId="30" applyNumberFormat="1" applyFont="1" applyFill="1" applyBorder="1"/>
    <xf numFmtId="167" fontId="48" fillId="19" borderId="53" xfId="29" applyNumberFormat="1" applyFont="1" applyFill="1" applyBorder="1"/>
    <xf numFmtId="167" fontId="18" fillId="19" borderId="0" xfId="0" applyNumberFormat="1" applyFont="1" applyFill="1"/>
    <xf numFmtId="167" fontId="17" fillId="19" borderId="0" xfId="29" applyNumberFormat="1" applyFont="1" applyFill="1"/>
    <xf numFmtId="167" fontId="17" fillId="19" borderId="60" xfId="29" applyNumberFormat="1" applyFont="1" applyFill="1" applyBorder="1"/>
    <xf numFmtId="165" fontId="0" fillId="19" borderId="16" xfId="0" applyNumberFormat="1" applyFill="1" applyBorder="1"/>
    <xf numFmtId="165" fontId="0" fillId="19" borderId="1" xfId="0" applyNumberFormat="1" applyFill="1" applyBorder="1"/>
    <xf numFmtId="165" fontId="0" fillId="19" borderId="9" xfId="0" applyNumberFormat="1" applyFill="1" applyBorder="1"/>
    <xf numFmtId="41" fontId="3" fillId="19" borderId="0" xfId="38" applyNumberFormat="1" applyFill="1"/>
    <xf numFmtId="41" fontId="22" fillId="19" borderId="0" xfId="38" applyNumberFormat="1" applyFont="1" applyFill="1"/>
    <xf numFmtId="41" fontId="22" fillId="19" borderId="41" xfId="0" applyNumberFormat="1" applyFont="1" applyFill="1" applyBorder="1"/>
    <xf numFmtId="41" fontId="0" fillId="19" borderId="44" xfId="0" applyNumberFormat="1" applyFill="1" applyBorder="1"/>
    <xf numFmtId="41" fontId="0" fillId="19" borderId="11" xfId="0" applyNumberFormat="1" applyFill="1" applyBorder="1"/>
    <xf numFmtId="41" fontId="22" fillId="19" borderId="42" xfId="0" applyNumberFormat="1" applyFont="1" applyFill="1" applyBorder="1"/>
    <xf numFmtId="41" fontId="0" fillId="19" borderId="45" xfId="0" applyNumberFormat="1" applyFill="1" applyBorder="1"/>
    <xf numFmtId="41" fontId="0" fillId="19" borderId="3" xfId="0" applyNumberFormat="1" applyFill="1" applyBorder="1"/>
    <xf numFmtId="41" fontId="22" fillId="19" borderId="43" xfId="0" applyNumberFormat="1" applyFont="1" applyFill="1" applyBorder="1"/>
    <xf numFmtId="41" fontId="22" fillId="19" borderId="24" xfId="0" applyNumberFormat="1" applyFont="1" applyFill="1" applyBorder="1"/>
    <xf numFmtId="41" fontId="22" fillId="2" borderId="23" xfId="0" applyNumberFormat="1" applyFont="1" applyFill="1" applyBorder="1"/>
    <xf numFmtId="41" fontId="22" fillId="2" borderId="12" xfId="0" applyNumberFormat="1" applyFont="1" applyFill="1" applyBorder="1"/>
    <xf numFmtId="41" fontId="22" fillId="2" borderId="41" xfId="0" applyNumberFormat="1" applyFont="1" applyFill="1" applyBorder="1"/>
    <xf numFmtId="41" fontId="22" fillId="2" borderId="42" xfId="0" applyNumberFormat="1" applyFont="1" applyFill="1" applyBorder="1"/>
    <xf numFmtId="41" fontId="22" fillId="19" borderId="52" xfId="0" applyNumberFormat="1" applyFont="1" applyFill="1" applyBorder="1"/>
    <xf numFmtId="41" fontId="0" fillId="19" borderId="47" xfId="0" applyNumberFormat="1" applyFill="1" applyBorder="1"/>
    <xf numFmtId="41" fontId="22" fillId="19" borderId="6" xfId="0" applyNumberFormat="1" applyFont="1" applyFill="1" applyBorder="1"/>
    <xf numFmtId="41" fontId="0" fillId="19" borderId="48" xfId="0" applyNumberFormat="1" applyFill="1" applyBorder="1"/>
    <xf numFmtId="43" fontId="22" fillId="19" borderId="41" xfId="0" applyNumberFormat="1" applyFont="1" applyFill="1" applyBorder="1"/>
    <xf numFmtId="43" fontId="0" fillId="19" borderId="44" xfId="0" applyNumberFormat="1" applyFill="1" applyBorder="1"/>
    <xf numFmtId="43" fontId="0" fillId="19" borderId="11" xfId="0" applyNumberFormat="1" applyFill="1" applyBorder="1"/>
    <xf numFmtId="43" fontId="0" fillId="19" borderId="47" xfId="0" applyNumberFormat="1" applyFill="1" applyBorder="1"/>
    <xf numFmtId="43" fontId="0" fillId="19" borderId="45" xfId="0" applyNumberFormat="1" applyFill="1" applyBorder="1"/>
    <xf numFmtId="43" fontId="0" fillId="19" borderId="3" xfId="0" applyNumberFormat="1" applyFill="1" applyBorder="1"/>
    <xf numFmtId="43" fontId="22" fillId="19" borderId="42" xfId="0" applyNumberFormat="1" applyFont="1" applyFill="1" applyBorder="1"/>
    <xf numFmtId="43" fontId="62" fillId="19" borderId="41" xfId="0" applyNumberFormat="1" applyFont="1" applyFill="1" applyBorder="1"/>
    <xf numFmtId="43" fontId="62" fillId="19" borderId="42" xfId="0" applyNumberFormat="1" applyFont="1" applyFill="1" applyBorder="1"/>
    <xf numFmtId="41" fontId="22" fillId="0" borderId="43" xfId="0" applyNumberFormat="1" applyFont="1" applyFill="1" applyBorder="1"/>
    <xf numFmtId="43" fontId="22" fillId="19" borderId="41" xfId="39" applyFont="1" applyFill="1" applyBorder="1"/>
    <xf numFmtId="43" fontId="22" fillId="19" borderId="42" xfId="39" applyFont="1" applyFill="1" applyBorder="1"/>
    <xf numFmtId="43" fontId="0" fillId="19" borderId="11" xfId="39" applyFont="1" applyFill="1" applyBorder="1"/>
    <xf numFmtId="43" fontId="0" fillId="19" borderId="47" xfId="39" applyFont="1" applyFill="1" applyBorder="1"/>
    <xf numFmtId="175" fontId="62" fillId="19" borderId="40" xfId="0" applyNumberFormat="1" applyFont="1" applyFill="1" applyBorder="1"/>
    <xf numFmtId="167" fontId="54" fillId="19" borderId="0" xfId="0" applyNumberFormat="1" applyFont="1" applyFill="1" applyBorder="1" applyAlignment="1">
      <alignment horizontal="left"/>
    </xf>
    <xf numFmtId="183" fontId="0" fillId="0" borderId="0" xfId="0" applyNumberFormat="1" applyAlignment="1">
      <alignment horizontal="center"/>
    </xf>
    <xf numFmtId="0" fontId="7" fillId="19" borderId="2" xfId="28" applyNumberFormat="1" applyFill="1" applyBorder="1"/>
    <xf numFmtId="0" fontId="7" fillId="19" borderId="5" xfId="28" applyNumberFormat="1" applyFill="1" applyBorder="1"/>
    <xf numFmtId="43" fontId="22" fillId="19" borderId="54" xfId="0" applyNumberFormat="1" applyFont="1" applyFill="1" applyBorder="1"/>
    <xf numFmtId="43" fontId="22" fillId="19" borderId="55" xfId="0" applyNumberFormat="1" applyFont="1" applyFill="1" applyBorder="1"/>
    <xf numFmtId="43" fontId="0" fillId="19" borderId="54" xfId="0" applyNumberFormat="1" applyFill="1" applyBorder="1"/>
    <xf numFmtId="41" fontId="1" fillId="19" borderId="0" xfId="0" applyNumberFormat="1" applyFont="1" applyFill="1"/>
    <xf numFmtId="41" fontId="0" fillId="0" borderId="11" xfId="0" applyNumberFormat="1" applyFill="1" applyBorder="1"/>
    <xf numFmtId="41" fontId="0" fillId="0" borderId="3" xfId="0" applyNumberFormat="1" applyFill="1" applyBorder="1"/>
    <xf numFmtId="41" fontId="0" fillId="0" borderId="47" xfId="0" applyNumberFormat="1" applyFill="1" applyBorder="1"/>
    <xf numFmtId="41" fontId="0" fillId="0" borderId="48" xfId="0" applyNumberFormat="1" applyFill="1" applyBorder="1"/>
    <xf numFmtId="41" fontId="22" fillId="0" borderId="41" xfId="0" applyNumberFormat="1" applyFont="1" applyFill="1" applyBorder="1"/>
    <xf numFmtId="41" fontId="0" fillId="2" borderId="44" xfId="0" applyNumberFormat="1" applyFill="1" applyBorder="1"/>
    <xf numFmtId="41" fontId="0" fillId="2" borderId="45" xfId="0" applyNumberFormat="1" applyFill="1" applyBorder="1"/>
    <xf numFmtId="41" fontId="22" fillId="2" borderId="43" xfId="0" applyNumberFormat="1" applyFont="1" applyFill="1" applyBorder="1"/>
    <xf numFmtId="41" fontId="22" fillId="0" borderId="24" xfId="0" applyNumberFormat="1" applyFont="1" applyFill="1" applyBorder="1"/>
    <xf numFmtId="41" fontId="58" fillId="2" borderId="45" xfId="0" applyNumberFormat="1" applyFont="1" applyFill="1" applyBorder="1"/>
    <xf numFmtId="43" fontId="0" fillId="0" borderId="11" xfId="0" applyNumberFormat="1" applyFill="1" applyBorder="1"/>
    <xf numFmtId="43" fontId="0" fillId="0" borderId="3" xfId="0" applyNumberFormat="1" applyFill="1" applyBorder="1"/>
    <xf numFmtId="43" fontId="0" fillId="2" borderId="11" xfId="0" applyNumberFormat="1" applyFill="1" applyBorder="1"/>
    <xf numFmtId="43" fontId="0" fillId="2" borderId="3" xfId="0" applyNumberFormat="1" applyFill="1" applyBorder="1"/>
    <xf numFmtId="41" fontId="22" fillId="0" borderId="40" xfId="0" applyNumberFormat="1" applyFont="1" applyFill="1" applyBorder="1"/>
    <xf numFmtId="41" fontId="62" fillId="19" borderId="40" xfId="0" applyNumberFormat="1" applyFont="1" applyFill="1" applyBorder="1"/>
    <xf numFmtId="41" fontId="22" fillId="0" borderId="46" xfId="0" applyNumberFormat="1" applyFont="1" applyFill="1" applyBorder="1"/>
    <xf numFmtId="41" fontId="62" fillId="2" borderId="41" xfId="0" applyNumberFormat="1" applyFont="1" applyFill="1" applyBorder="1"/>
    <xf numFmtId="41" fontId="62" fillId="2" borderId="42" xfId="0" applyNumberFormat="1" applyFont="1" applyFill="1" applyBorder="1"/>
    <xf numFmtId="43" fontId="0" fillId="19" borderId="44" xfId="39" applyFont="1" applyFill="1" applyBorder="1"/>
    <xf numFmtId="43" fontId="0" fillId="19" borderId="45" xfId="39" applyFont="1" applyFill="1" applyBorder="1"/>
    <xf numFmtId="43" fontId="0" fillId="19" borderId="3" xfId="39" applyFont="1" applyFill="1" applyBorder="1"/>
    <xf numFmtId="43" fontId="0" fillId="19" borderId="48" xfId="39" applyFont="1" applyFill="1" applyBorder="1"/>
    <xf numFmtId="43" fontId="0" fillId="0" borderId="44" xfId="39" applyFont="1" applyFill="1" applyBorder="1"/>
    <xf numFmtId="43" fontId="0" fillId="0" borderId="45" xfId="39" applyFont="1" applyFill="1" applyBorder="1"/>
    <xf numFmtId="43" fontId="22" fillId="0" borderId="43" xfId="39" applyFont="1" applyFill="1" applyBorder="1"/>
    <xf numFmtId="43" fontId="0" fillId="0" borderId="11" xfId="39" applyFont="1" applyFill="1" applyBorder="1"/>
    <xf numFmtId="43" fontId="0" fillId="0" borderId="3" xfId="39" applyFont="1" applyFill="1" applyBorder="1"/>
    <xf numFmtId="43" fontId="22" fillId="0" borderId="24" xfId="39" applyFont="1" applyFill="1" applyBorder="1"/>
    <xf numFmtId="43" fontId="0" fillId="0" borderId="47" xfId="39" applyFont="1" applyFill="1" applyBorder="1"/>
    <xf numFmtId="43" fontId="0" fillId="0" borderId="48" xfId="39" applyFont="1" applyFill="1" applyBorder="1"/>
    <xf numFmtId="43" fontId="22" fillId="0" borderId="46" xfId="39" applyFont="1" applyFill="1" applyBorder="1"/>
    <xf numFmtId="43" fontId="22" fillId="0" borderId="40" xfId="39" applyFont="1" applyFill="1" applyBorder="1"/>
    <xf numFmtId="175" fontId="62" fillId="2" borderId="41" xfId="0" applyNumberFormat="1" applyFont="1" applyFill="1" applyBorder="1"/>
    <xf numFmtId="175" fontId="62" fillId="2" borderId="42" xfId="0" applyNumberFormat="1" applyFont="1" applyFill="1" applyBorder="1"/>
    <xf numFmtId="0" fontId="73" fillId="19" borderId="0" xfId="0" applyFont="1" applyFill="1"/>
    <xf numFmtId="0" fontId="74" fillId="12" borderId="23" xfId="0" applyFont="1" applyFill="1" applyBorder="1"/>
    <xf numFmtId="0" fontId="74" fillId="12" borderId="29" xfId="0" applyFont="1" applyFill="1" applyBorder="1" applyAlignment="1">
      <alignment horizontal="center"/>
    </xf>
    <xf numFmtId="0" fontId="73" fillId="0" borderId="0" xfId="0" applyFont="1"/>
    <xf numFmtId="0" fontId="75" fillId="0" borderId="0" xfId="0" applyFont="1" applyBorder="1" applyAlignment="1">
      <alignment horizontal="center"/>
    </xf>
    <xf numFmtId="0" fontId="74" fillId="19" borderId="0" xfId="0" applyFont="1" applyFill="1"/>
    <xf numFmtId="0" fontId="74" fillId="0" borderId="0" xfId="0" applyFont="1"/>
    <xf numFmtId="167" fontId="73" fillId="0" borderId="0" xfId="29" applyNumberFormat="1" applyFont="1"/>
    <xf numFmtId="167" fontId="73" fillId="0" borderId="0" xfId="29" applyNumberFormat="1" applyFont="1" applyFill="1" applyAlignment="1">
      <alignment wrapText="1"/>
    </xf>
    <xf numFmtId="0" fontId="73" fillId="0" borderId="0" xfId="0" applyFont="1" applyFill="1" applyAlignment="1">
      <alignment wrapText="1"/>
    </xf>
    <xf numFmtId="0" fontId="73" fillId="0" borderId="0" xfId="0" applyFont="1" applyFill="1"/>
    <xf numFmtId="10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/>
    <xf numFmtId="10" fontId="1" fillId="0" borderId="0" xfId="1" applyNumberFormat="1" applyFont="1" applyFill="1" applyBorder="1" applyAlignment="1">
      <alignment horizontal="center"/>
    </xf>
    <xf numFmtId="9" fontId="1" fillId="0" borderId="0" xfId="0" applyNumberFormat="1" applyFont="1"/>
    <xf numFmtId="180" fontId="1" fillId="17" borderId="0" xfId="29" applyNumberFormat="1" applyFont="1" applyFill="1"/>
    <xf numFmtId="167" fontId="1" fillId="17" borderId="0" xfId="29" applyNumberFormat="1" applyFont="1" applyFill="1"/>
    <xf numFmtId="167" fontId="1" fillId="0" borderId="0" xfId="29" applyNumberFormat="1" applyFont="1"/>
    <xf numFmtId="0" fontId="1" fillId="0" borderId="0" xfId="13" applyFont="1"/>
    <xf numFmtId="167" fontId="1" fillId="0" borderId="0" xfId="29" applyNumberFormat="1" applyFont="1" applyAlignment="1">
      <alignment horizontal="center" vertical="center"/>
    </xf>
    <xf numFmtId="0" fontId="1" fillId="19" borderId="0" xfId="38" applyFont="1" applyFill="1"/>
    <xf numFmtId="0" fontId="1" fillId="0" borderId="0" xfId="38" applyFont="1" applyFill="1"/>
    <xf numFmtId="0" fontId="1" fillId="0" borderId="0" xfId="38" applyFont="1"/>
    <xf numFmtId="43" fontId="1" fillId="0" borderId="0" xfId="39" applyFont="1"/>
    <xf numFmtId="41" fontId="1" fillId="2" borderId="43" xfId="0" applyNumberFormat="1" applyFont="1" applyFill="1" applyBorder="1"/>
    <xf numFmtId="0" fontId="1" fillId="0" borderId="0" xfId="38" applyFont="1" applyAlignment="1">
      <alignment wrapText="1"/>
    </xf>
    <xf numFmtId="0" fontId="1" fillId="0" borderId="32" xfId="28" applyFont="1" applyBorder="1"/>
    <xf numFmtId="0" fontId="1" fillId="0" borderId="34" xfId="28" applyFont="1" applyBorder="1"/>
    <xf numFmtId="0" fontId="1" fillId="0" borderId="6" xfId="28" applyFont="1" applyBorder="1"/>
    <xf numFmtId="0" fontId="1" fillId="0" borderId="5" xfId="28" applyFont="1" applyBorder="1"/>
    <xf numFmtId="165" fontId="17" fillId="2" borderId="0" xfId="0" applyNumberFormat="1" applyFont="1" applyFill="1" applyBorder="1" applyAlignment="1">
      <alignment horizontal="center" vertical="center"/>
    </xf>
    <xf numFmtId="168" fontId="17" fillId="3" borderId="49" xfId="0" applyNumberFormat="1" applyFont="1" applyFill="1" applyBorder="1" applyAlignment="1">
      <alignment horizontal="center"/>
    </xf>
    <xf numFmtId="168" fontId="17" fillId="3" borderId="4" xfId="0" applyNumberFormat="1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167" fontId="17" fillId="0" borderId="20" xfId="29" applyNumberFormat="1" applyFont="1" applyFill="1" applyBorder="1" applyAlignment="1">
      <alignment horizontal="center"/>
    </xf>
    <xf numFmtId="167" fontId="17" fillId="0" borderId="49" xfId="29" applyNumberFormat="1" applyFont="1" applyFill="1" applyBorder="1" applyAlignment="1">
      <alignment horizontal="center"/>
    </xf>
    <xf numFmtId="167" fontId="17" fillId="0" borderId="4" xfId="29" applyNumberFormat="1" applyFont="1" applyFill="1" applyBorder="1" applyAlignment="1">
      <alignment horizontal="center"/>
    </xf>
    <xf numFmtId="1" fontId="6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0" xfId="0" applyBorder="1" applyAlignment="1">
      <alignment wrapText="1"/>
    </xf>
    <xf numFmtId="0" fontId="39" fillId="16" borderId="21" xfId="0" applyFont="1" applyFill="1" applyBorder="1" applyAlignment="1">
      <alignment horizontal="center" wrapText="1"/>
    </xf>
    <xf numFmtId="0" fontId="39" fillId="16" borderId="39" xfId="0" applyFont="1" applyFill="1" applyBorder="1" applyAlignment="1">
      <alignment horizontal="center" wrapText="1"/>
    </xf>
    <xf numFmtId="0" fontId="22" fillId="21" borderId="21" xfId="0" applyFont="1" applyFill="1" applyBorder="1" applyAlignment="1">
      <alignment horizontal="center" wrapText="1"/>
    </xf>
    <xf numFmtId="0" fontId="22" fillId="21" borderId="39" xfId="0" applyFont="1" applyFill="1" applyBorder="1" applyAlignment="1">
      <alignment horizontal="center" wrapText="1"/>
    </xf>
    <xf numFmtId="0" fontId="39" fillId="10" borderId="36" xfId="0" applyFont="1" applyFill="1" applyBorder="1" applyAlignment="1">
      <alignment horizontal="center"/>
    </xf>
    <xf numFmtId="0" fontId="39" fillId="10" borderId="37" xfId="0" applyFont="1" applyFill="1" applyBorder="1" applyAlignment="1">
      <alignment horizontal="center"/>
    </xf>
    <xf numFmtId="0" fontId="22" fillId="15" borderId="21" xfId="0" applyFont="1" applyFill="1" applyBorder="1" applyAlignment="1">
      <alignment horizontal="center" wrapText="1"/>
    </xf>
    <xf numFmtId="0" fontId="22" fillId="15" borderId="39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165" fontId="17" fillId="2" borderId="18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0" fontId="17" fillId="2" borderId="18" xfId="0" applyNumberFormat="1" applyFont="1" applyFill="1" applyBorder="1" applyAlignment="1">
      <alignment horizontal="center" vertical="center"/>
    </xf>
    <xf numFmtId="0" fontId="39" fillId="15" borderId="57" xfId="0" applyFont="1" applyFill="1" applyBorder="1" applyAlignment="1">
      <alignment horizontal="center" wrapText="1"/>
    </xf>
    <xf numFmtId="0" fontId="39" fillId="15" borderId="58" xfId="0" applyFont="1" applyFill="1" applyBorder="1" applyAlignment="1">
      <alignment horizontal="center" wrapText="1"/>
    </xf>
  </cellXfs>
  <cellStyles count="44">
    <cellStyle name="Comma" xfId="29" builtinId="3"/>
    <cellStyle name="Comma 10" xfId="36"/>
    <cellStyle name="Comma 2" xfId="3"/>
    <cellStyle name="Comma 2 2" xfId="39"/>
    <cellStyle name="Comma 3" xfId="6"/>
    <cellStyle name="Comma 4" xfId="8"/>
    <cellStyle name="Comma 5" xfId="12"/>
    <cellStyle name="Comma 6" xfId="14"/>
    <cellStyle name="Comma 7" xfId="21"/>
    <cellStyle name="Comma 8" xfId="23"/>
    <cellStyle name="Comma 9" xfId="32"/>
    <cellStyle name="Good" xfId="24" builtinId="26"/>
    <cellStyle name="Hyperlink" xfId="42" builtinId="8"/>
    <cellStyle name="Normal" xfId="0" builtinId="0"/>
    <cellStyle name="Normal 10" xfId="30"/>
    <cellStyle name="Normal 11" xfId="33"/>
    <cellStyle name="Normal 11 2" xfId="38"/>
    <cellStyle name="Normal 12" xfId="35"/>
    <cellStyle name="Normal 13" xfId="43"/>
    <cellStyle name="Normal 2" xfId="2"/>
    <cellStyle name="Normal 3" xfId="5"/>
    <cellStyle name="Normal 4" xfId="7"/>
    <cellStyle name="Normal 5" xfId="9"/>
    <cellStyle name="Normal 5 2" xfId="11"/>
    <cellStyle name="Normal 5 3" xfId="13"/>
    <cellStyle name="Normal 5 3 2" xfId="20"/>
    <cellStyle name="Normal 5 3 3" xfId="25"/>
    <cellStyle name="Normal 5 4" xfId="31"/>
    <cellStyle name="Normal 6" xfId="10"/>
    <cellStyle name="Normal 7" xfId="15"/>
    <cellStyle name="Normal 7 2" xfId="26"/>
    <cellStyle name="Normal 7 2 2" xfId="41"/>
    <cellStyle name="Normal 8" xfId="17"/>
    <cellStyle name="Normal 8 2" xfId="19"/>
    <cellStyle name="Normal 8 3" xfId="28"/>
    <cellStyle name="Normal 9" xfId="22"/>
    <cellStyle name="Percent" xfId="1" builtinId="5"/>
    <cellStyle name="Percent 2" xfId="4"/>
    <cellStyle name="Percent 3" xfId="16"/>
    <cellStyle name="Percent 3 2" xfId="27"/>
    <cellStyle name="Percent 4" xfId="34"/>
    <cellStyle name="Percent 4 2" xfId="40"/>
    <cellStyle name="Percent 5" xfId="37"/>
    <cellStyle name="Standaard_Map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85725</xdr:rowOff>
    </xdr:from>
    <xdr:to>
      <xdr:col>13</xdr:col>
      <xdr:colOff>880483</xdr:colOff>
      <xdr:row>20</xdr:row>
      <xdr:rowOff>95815</xdr:rowOff>
    </xdr:to>
    <xdr:sp macro="" textlink="">
      <xdr:nvSpPr>
        <xdr:cNvPr id="3073" name="Object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6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85725</xdr:rowOff>
    </xdr:from>
    <xdr:to>
      <xdr:col>13</xdr:col>
      <xdr:colOff>868849</xdr:colOff>
      <xdr:row>20</xdr:row>
      <xdr:rowOff>82480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4E7DF882-E148-4A0E-96C8-FB48BEAB3E3E}"/>
            </a:ext>
          </a:extLst>
        </xdr:cNvPr>
        <xdr:cNvSpPr/>
      </xdr:nvSpPr>
      <xdr:spPr bwMode="auto">
        <a:xfrm>
          <a:off x="7975600" y="219075"/>
          <a:ext cx="5697389" cy="36416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na.ciuciuc\Documents\NetCity\NETCITY\2018\Tarife\Model%20de%20calculatie%20Netcity_ANCOM_21.09_v5%20din%20aviz%20ANCOM%202013%20rev%20RCGR%20versiune%20publica%2027.09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Summary"/>
      <sheetName val="Lista ajustari"/>
      <sheetName val="Sumar"/>
      <sheetName val="Matrice de alocare"/>
      <sheetName val="Ipoteze de lucru"/>
      <sheetName val="1. CAPEX"/>
      <sheetName val="3. OPEX 2017"/>
      <sheetName val="4. Capacitati de retea"/>
      <sheetName val="_TM_Volumes"/>
      <sheetName val="OPEX"/>
      <sheetName val="CAPEX 2013"/>
      <sheetName val="Capacitati 2017"/>
      <sheetName val="Alte servicii"/>
      <sheetName val="Centralizator ore acces 2013"/>
      <sheetName val="Materi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"/>
  <sheetViews>
    <sheetView workbookViewId="0"/>
  </sheetViews>
  <sheetFormatPr defaultRowHeight="12.75" x14ac:dyDescent="0.2"/>
  <sheetData>
    <row r="1" spans="1:5" x14ac:dyDescent="0.2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x14ac:dyDescent="0.2">
      <c r="A2">
        <v>2</v>
      </c>
      <c r="B2">
        <v>3</v>
      </c>
      <c r="C2">
        <v>8</v>
      </c>
      <c r="D2">
        <v>7</v>
      </c>
      <c r="E2" t="s">
        <v>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08"/>
  <sheetViews>
    <sheetView zoomScale="140" zoomScaleNormal="14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7" sqref="C17"/>
    </sheetView>
  </sheetViews>
  <sheetFormatPr defaultColWidth="9.140625" defaultRowHeight="11.25" x14ac:dyDescent="0.2"/>
  <cols>
    <col min="1" max="1" width="3.5703125" style="202" customWidth="1"/>
    <col min="2" max="2" width="26.42578125" style="202" customWidth="1"/>
    <col min="3" max="3" width="13.28515625" style="202" customWidth="1"/>
    <col min="4" max="4" width="9.85546875" style="202" bestFit="1" customWidth="1"/>
    <col min="5" max="5" width="8.140625" style="202" bestFit="1" customWidth="1"/>
    <col min="6" max="6" width="8.7109375" style="202" bestFit="1" customWidth="1"/>
    <col min="7" max="7" width="8.42578125" style="202" bestFit="1" customWidth="1"/>
    <col min="8" max="8" width="16.42578125" style="202" bestFit="1" customWidth="1"/>
    <col min="9" max="9" width="13.7109375" style="202" customWidth="1"/>
    <col min="10" max="16384" width="9.140625" style="202"/>
  </cols>
  <sheetData>
    <row r="1" spans="1:10" x14ac:dyDescent="0.2">
      <c r="A1" s="201"/>
    </row>
    <row r="2" spans="1:10" x14ac:dyDescent="0.2">
      <c r="A2" s="201"/>
      <c r="B2" s="310" t="s">
        <v>132</v>
      </c>
      <c r="C2" s="307">
        <v>2013</v>
      </c>
      <c r="D2" s="307">
        <v>2017</v>
      </c>
      <c r="E2" s="304"/>
      <c r="F2" s="307">
        <v>2013</v>
      </c>
      <c r="G2" s="307">
        <v>2017</v>
      </c>
      <c r="H2" s="402"/>
      <c r="I2" s="604" t="s">
        <v>133</v>
      </c>
      <c r="J2" s="604" t="s">
        <v>134</v>
      </c>
    </row>
    <row r="3" spans="1:10" x14ac:dyDescent="0.2">
      <c r="A3" s="201"/>
      <c r="B3" s="203"/>
      <c r="C3" s="308" t="s">
        <v>135</v>
      </c>
      <c r="D3" s="308" t="s">
        <v>136</v>
      </c>
      <c r="E3" s="305"/>
      <c r="F3" s="308" t="s">
        <v>137</v>
      </c>
      <c r="G3" s="308" t="s">
        <v>137</v>
      </c>
      <c r="H3" s="403"/>
      <c r="I3" s="605"/>
      <c r="J3" s="605"/>
    </row>
    <row r="4" spans="1:10" ht="10.15" customHeight="1" x14ac:dyDescent="0.2">
      <c r="A4" s="201"/>
      <c r="B4" s="205" t="s">
        <v>138</v>
      </c>
      <c r="C4" s="478">
        <v>786943</v>
      </c>
      <c r="D4" s="478">
        <v>231569</v>
      </c>
      <c r="E4" s="2"/>
      <c r="F4" s="2"/>
      <c r="G4" s="2"/>
      <c r="H4" s="2"/>
      <c r="I4" s="606"/>
      <c r="J4" s="606"/>
    </row>
    <row r="5" spans="1:10" ht="10.15" customHeight="1" x14ac:dyDescent="0.2">
      <c r="A5" s="201"/>
      <c r="B5" s="206" t="s">
        <v>138</v>
      </c>
      <c r="C5" s="479">
        <v>675832</v>
      </c>
      <c r="D5" s="479">
        <v>262145</v>
      </c>
      <c r="E5" s="2"/>
      <c r="F5" s="397"/>
      <c r="G5" s="397"/>
      <c r="H5" s="397"/>
    </row>
    <row r="6" spans="1:10" ht="10.15" customHeight="1" x14ac:dyDescent="0.2">
      <c r="A6" s="201"/>
      <c r="B6" s="205" t="s">
        <v>139</v>
      </c>
      <c r="C6" s="336">
        <f>SUM(C7:C13)</f>
        <v>16637762</v>
      </c>
      <c r="D6" s="336">
        <f>SUM(D7:D13)</f>
        <v>15005985</v>
      </c>
      <c r="E6" s="2"/>
      <c r="F6" s="2"/>
      <c r="G6" s="2"/>
      <c r="H6" s="2"/>
    </row>
    <row r="7" spans="1:10" x14ac:dyDescent="0.2">
      <c r="A7" s="201"/>
      <c r="B7" s="206" t="s">
        <v>140</v>
      </c>
      <c r="C7" s="479">
        <v>8860505</v>
      </c>
      <c r="D7" s="479">
        <v>5630215</v>
      </c>
      <c r="E7" s="2"/>
      <c r="F7" s="2"/>
      <c r="G7" s="2"/>
      <c r="H7" s="2"/>
    </row>
    <row r="8" spans="1:10" x14ac:dyDescent="0.2">
      <c r="A8" s="201"/>
      <c r="B8" s="206" t="s">
        <v>141</v>
      </c>
      <c r="C8" s="479">
        <v>6395686</v>
      </c>
      <c r="D8" s="479">
        <v>879653</v>
      </c>
      <c r="E8" s="2"/>
      <c r="F8" s="2"/>
      <c r="G8" s="2"/>
      <c r="H8" s="2"/>
    </row>
    <row r="9" spans="1:10" x14ac:dyDescent="0.2">
      <c r="A9" s="201"/>
      <c r="B9" s="418" t="s">
        <v>142</v>
      </c>
      <c r="C9" s="479">
        <v>733125</v>
      </c>
      <c r="D9" s="479">
        <v>4555201</v>
      </c>
      <c r="E9" s="2"/>
      <c r="F9" s="2"/>
      <c r="G9" s="2"/>
      <c r="H9" s="2"/>
      <c r="I9" s="204"/>
    </row>
    <row r="10" spans="1:10" x14ac:dyDescent="0.2">
      <c r="A10" s="201"/>
      <c r="B10" s="418" t="s">
        <v>143</v>
      </c>
      <c r="C10" s="479">
        <v>567245</v>
      </c>
      <c r="D10" s="479">
        <v>3699520</v>
      </c>
      <c r="E10" s="2"/>
      <c r="F10" s="2"/>
      <c r="G10" s="2"/>
      <c r="H10" s="2"/>
      <c r="I10" s="204"/>
    </row>
    <row r="11" spans="1:10" x14ac:dyDescent="0.2">
      <c r="A11" s="201"/>
      <c r="B11" s="221" t="s">
        <v>144</v>
      </c>
      <c r="C11" s="480">
        <v>-8177</v>
      </c>
      <c r="D11" s="222">
        <v>0</v>
      </c>
      <c r="E11" s="2"/>
      <c r="F11" s="397"/>
      <c r="G11" s="397"/>
      <c r="H11" s="2"/>
      <c r="I11" s="305"/>
    </row>
    <row r="12" spans="1:10" x14ac:dyDescent="0.2">
      <c r="A12" s="201"/>
      <c r="B12" s="418" t="s">
        <v>145</v>
      </c>
      <c r="C12" s="479">
        <v>45237</v>
      </c>
      <c r="D12" s="479">
        <v>5699</v>
      </c>
      <c r="E12" s="2"/>
      <c r="F12" s="2"/>
      <c r="G12" s="2"/>
      <c r="H12" s="2"/>
      <c r="I12" s="204"/>
    </row>
    <row r="13" spans="1:10" x14ac:dyDescent="0.2">
      <c r="A13" s="201"/>
      <c r="B13" s="418" t="s">
        <v>146</v>
      </c>
      <c r="C13" s="479">
        <v>44141</v>
      </c>
      <c r="D13" s="479">
        <v>235697</v>
      </c>
      <c r="E13" s="2"/>
      <c r="F13" s="2"/>
      <c r="G13" s="2"/>
      <c r="H13" s="2"/>
      <c r="I13" s="204"/>
    </row>
    <row r="14" spans="1:10" x14ac:dyDescent="0.2">
      <c r="A14" s="201"/>
      <c r="B14" s="205" t="s">
        <v>147</v>
      </c>
      <c r="C14" s="336">
        <f t="shared" ref="C14" si="0">SUM(C15:C16)</f>
        <v>249348</v>
      </c>
      <c r="D14" s="336">
        <f>SUM(D15:D16)</f>
        <v>1239485</v>
      </c>
      <c r="E14" s="2"/>
      <c r="F14" s="2"/>
      <c r="G14" s="2"/>
      <c r="H14" s="2"/>
      <c r="I14" s="204"/>
    </row>
    <row r="15" spans="1:10" x14ac:dyDescent="0.2">
      <c r="A15" s="201"/>
      <c r="B15" s="206" t="s">
        <v>147</v>
      </c>
      <c r="C15" s="479">
        <v>223326</v>
      </c>
      <c r="D15" s="479">
        <v>1230555</v>
      </c>
      <c r="E15" s="2"/>
      <c r="F15" s="397">
        <f>C15/'Ipoteze de lucru'!$C$15/12</f>
        <v>4211.4731839782762</v>
      </c>
      <c r="G15" s="397">
        <f>D15/'Ipoteze de lucru'!$C$19/12</f>
        <v>22448.337383157108</v>
      </c>
      <c r="H15" s="397"/>
      <c r="I15" s="204"/>
    </row>
    <row r="16" spans="1:10" x14ac:dyDescent="0.2">
      <c r="A16" s="201"/>
      <c r="B16" s="206" t="s">
        <v>148</v>
      </c>
      <c r="C16" s="479">
        <v>26022</v>
      </c>
      <c r="D16" s="479">
        <v>8930</v>
      </c>
      <c r="E16" s="2"/>
      <c r="F16" s="397">
        <f>C16/'Ipoteze de lucru'!$C$15/12</f>
        <v>490.72188277890928</v>
      </c>
      <c r="G16" s="397">
        <f>D16/'Ipoteze de lucru'!$C$19/12</f>
        <v>162.90507359004107</v>
      </c>
      <c r="H16" s="397"/>
    </row>
    <row r="17" spans="2:10" s="201" customFormat="1" x14ac:dyDescent="0.2">
      <c r="B17" s="205" t="s">
        <v>149</v>
      </c>
      <c r="C17" s="336">
        <f t="shared" ref="C17" si="1">C18</f>
        <v>516702</v>
      </c>
      <c r="D17" s="336">
        <f>D18</f>
        <v>233654</v>
      </c>
      <c r="E17" s="2"/>
      <c r="F17" s="2"/>
      <c r="G17" s="2"/>
      <c r="H17" s="2"/>
      <c r="I17" s="204"/>
    </row>
    <row r="18" spans="2:10" s="201" customFormat="1" x14ac:dyDescent="0.2">
      <c r="B18" s="206" t="s">
        <v>149</v>
      </c>
      <c r="C18" s="479">
        <v>516702</v>
      </c>
      <c r="D18" s="479">
        <v>233654</v>
      </c>
      <c r="E18" s="2"/>
      <c r="F18" s="2"/>
      <c r="G18" s="2"/>
      <c r="H18" s="2"/>
      <c r="I18" s="204"/>
    </row>
    <row r="19" spans="2:10" s="201" customFormat="1" x14ac:dyDescent="0.2">
      <c r="B19" s="205" t="s">
        <v>150</v>
      </c>
      <c r="C19" s="336">
        <v>3841456</v>
      </c>
      <c r="D19" s="478">
        <v>5691233</v>
      </c>
      <c r="E19" s="2"/>
      <c r="F19" s="2"/>
      <c r="G19" s="2"/>
      <c r="H19" s="2"/>
    </row>
    <row r="20" spans="2:10" s="201" customFormat="1" x14ac:dyDescent="0.2">
      <c r="B20" s="206" t="s">
        <v>150</v>
      </c>
      <c r="C20" s="479">
        <v>495257</v>
      </c>
      <c r="D20" s="222">
        <f>D19</f>
        <v>5691233</v>
      </c>
      <c r="E20" s="2"/>
      <c r="F20" s="2"/>
      <c r="G20" s="398"/>
      <c r="H20" s="398"/>
      <c r="I20" s="207"/>
    </row>
    <row r="21" spans="2:10" s="201" customFormat="1" x14ac:dyDescent="0.2">
      <c r="B21" s="205" t="s">
        <v>151</v>
      </c>
      <c r="C21" s="336">
        <f>C22+SUM(C40:C44)</f>
        <v>14261338</v>
      </c>
      <c r="D21" s="336">
        <f>D22+SUM(D40:D44)</f>
        <v>5078072</v>
      </c>
      <c r="E21" s="385"/>
      <c r="F21" s="399">
        <f>F22+SUM(F40:F44)</f>
        <v>268939.76766991027</v>
      </c>
      <c r="G21" s="399">
        <f>G22+SUM(G40:G44)</f>
        <v>76374.623293418845</v>
      </c>
      <c r="H21" s="2"/>
      <c r="I21" s="407">
        <f>I22+SUM(I40:I44)</f>
        <v>776543.63958757452</v>
      </c>
    </row>
    <row r="22" spans="2:10" s="201" customFormat="1" x14ac:dyDescent="0.2">
      <c r="B22" s="206" t="s">
        <v>152</v>
      </c>
      <c r="C22" s="222">
        <f>SUM(C23:C39)</f>
        <v>9866366</v>
      </c>
      <c r="D22" s="479">
        <v>3569222</v>
      </c>
      <c r="E22" s="2"/>
      <c r="F22" s="399">
        <f>SUM(F23:F39)</f>
        <v>186059.55344346384</v>
      </c>
      <c r="G22" s="399">
        <f>SUM(G23:G39)</f>
        <v>50832.530665557526</v>
      </c>
      <c r="H22" s="2"/>
      <c r="I22" s="407">
        <f>SUM(I23:I39)</f>
        <v>609990.36798669014</v>
      </c>
    </row>
    <row r="23" spans="2:10" s="201" customFormat="1" x14ac:dyDescent="0.2">
      <c r="B23" s="221" t="s">
        <v>153</v>
      </c>
      <c r="C23" s="479">
        <v>7813297</v>
      </c>
      <c r="D23" s="479">
        <v>1689455</v>
      </c>
      <c r="E23" s="2"/>
      <c r="F23" s="397">
        <f>C23/'Ipoteze de lucru'!$C$15/12</f>
        <v>147342.85660405824</v>
      </c>
      <c r="G23" s="397">
        <f>D23/'Ipoteze de lucru'!$C$19/12</f>
        <v>30819.797435841305</v>
      </c>
      <c r="H23" s="2">
        <f>D23/I23</f>
        <v>4.5681000000000003</v>
      </c>
      <c r="I23" s="406">
        <f>G23*12</f>
        <v>369837.56923009566</v>
      </c>
      <c r="J23" s="427">
        <v>2017</v>
      </c>
    </row>
    <row r="24" spans="2:10" s="201" customFormat="1" x14ac:dyDescent="0.2">
      <c r="B24" s="221" t="s">
        <v>154</v>
      </c>
      <c r="C24" s="479">
        <v>823234</v>
      </c>
      <c r="D24" s="479">
        <v>569222</v>
      </c>
      <c r="E24" s="2"/>
      <c r="F24" s="397">
        <f>C24/'Ipoteze de lucru'!$C$15/12</f>
        <v>15524.515350380932</v>
      </c>
      <c r="G24" s="467">
        <f>(D24-202749)/'Ipoteze de lucru'!$C$19/12</f>
        <v>6685.3651773530937</v>
      </c>
      <c r="H24" s="2"/>
      <c r="I24" s="462">
        <f>G24*12</f>
        <v>80224.382128237121</v>
      </c>
      <c r="J24" s="427" t="s">
        <v>155</v>
      </c>
    </row>
    <row r="25" spans="2:10" s="201" customFormat="1" x14ac:dyDescent="0.2">
      <c r="B25" s="221" t="s">
        <v>156</v>
      </c>
      <c r="C25" s="222"/>
      <c r="D25" s="222">
        <v>0</v>
      </c>
      <c r="E25" s="2"/>
      <c r="F25" s="397"/>
      <c r="G25" s="397"/>
      <c r="H25" s="2"/>
      <c r="I25" s="207"/>
      <c r="J25" s="427"/>
    </row>
    <row r="26" spans="2:10" s="201" customFormat="1" x14ac:dyDescent="0.2">
      <c r="B26" s="223" t="s">
        <v>157</v>
      </c>
      <c r="C26" s="479">
        <v>272516</v>
      </c>
      <c r="D26" s="479">
        <v>391203</v>
      </c>
      <c r="E26" s="2"/>
      <c r="F26" s="397">
        <f>C26/'Ipoteze de lucru'!$C$15/12</f>
        <v>5139.0963264690354</v>
      </c>
      <c r="G26" s="397">
        <f>D26/'Ipoteze de lucru'!$C$19/12</f>
        <v>7136.5009522558612</v>
      </c>
      <c r="H26" s="2">
        <f t="shared" ref="H26:H78" si="2">D26/I26</f>
        <v>4.5681000000000003</v>
      </c>
      <c r="I26" s="408">
        <f>D26/'Ipoteze de lucru'!$C$19</f>
        <v>85638.011427070334</v>
      </c>
      <c r="J26" s="427" t="s">
        <v>158</v>
      </c>
    </row>
    <row r="27" spans="2:10" s="201" customFormat="1" x14ac:dyDescent="0.2">
      <c r="B27" s="223" t="s">
        <v>159</v>
      </c>
      <c r="C27" s="479">
        <v>438912</v>
      </c>
      <c r="D27" s="479">
        <v>75369</v>
      </c>
      <c r="E27" s="385"/>
      <c r="F27" s="397">
        <f>C27/'Ipoteze de lucru'!$C$15/12</f>
        <v>8276.9857433808556</v>
      </c>
      <c r="G27" s="397">
        <f>D27/'Ipoteze de lucru'!$C$19/12</f>
        <v>1374.9151726100565</v>
      </c>
      <c r="H27" s="2">
        <f t="shared" si="2"/>
        <v>4.5681000000000003</v>
      </c>
      <c r="I27" s="408">
        <f>D27/'Ipoteze de lucru'!$C$19</f>
        <v>16498.982071320679</v>
      </c>
      <c r="J27" s="427" t="s">
        <v>160</v>
      </c>
    </row>
    <row r="28" spans="2:10" s="201" customFormat="1" x14ac:dyDescent="0.2">
      <c r="B28" s="223" t="s">
        <v>161</v>
      </c>
      <c r="C28" s="479">
        <v>212724</v>
      </c>
      <c r="D28" s="479">
        <v>17563</v>
      </c>
      <c r="E28" s="2"/>
      <c r="F28" s="397">
        <f>C28/'Ipoteze de lucru'!$C$15/12</f>
        <v>4011.5410726408695</v>
      </c>
      <c r="G28" s="397">
        <f>D28/'Ipoteze de lucru'!$C$19/12</f>
        <v>320.3921396933809</v>
      </c>
      <c r="H28" s="2">
        <f t="shared" si="2"/>
        <v>4.5681000000000003</v>
      </c>
      <c r="I28" s="408">
        <f>D28/'Ipoteze de lucru'!$C$19</f>
        <v>3844.7056763205705</v>
      </c>
      <c r="J28" s="427" t="s">
        <v>162</v>
      </c>
    </row>
    <row r="29" spans="2:10" s="201" customFormat="1" x14ac:dyDescent="0.2">
      <c r="B29" s="223" t="s">
        <v>163</v>
      </c>
      <c r="C29" s="479">
        <v>36065</v>
      </c>
      <c r="D29" s="479">
        <v>42301</v>
      </c>
      <c r="E29" s="2"/>
      <c r="F29" s="397">
        <f>C29/'Ipoteze de lucru'!$C$15/12</f>
        <v>680.11239345251568</v>
      </c>
      <c r="G29" s="397">
        <f>D29/'Ipoteze de lucru'!$C$19/12</f>
        <v>771.67385419174991</v>
      </c>
      <c r="H29" s="2">
        <f t="shared" si="2"/>
        <v>4.5681000000000003</v>
      </c>
      <c r="I29" s="406">
        <f>G29*12</f>
        <v>9260.0862503009994</v>
      </c>
      <c r="J29" s="427">
        <v>2017</v>
      </c>
    </row>
    <row r="30" spans="2:10" s="201" customFormat="1" x14ac:dyDescent="0.2">
      <c r="B30" s="223" t="s">
        <v>164</v>
      </c>
      <c r="C30" s="479">
        <v>23371</v>
      </c>
      <c r="D30" s="479">
        <v>4321</v>
      </c>
      <c r="E30" s="2"/>
      <c r="F30" s="397">
        <f>C30/'Ipoteze de lucru'!$C$15/12</f>
        <v>440.72942596364192</v>
      </c>
      <c r="G30" s="397">
        <f>D30/'Ipoteze de lucru'!$C$19/12</f>
        <v>78.825624074195687</v>
      </c>
      <c r="H30" s="2">
        <f t="shared" si="2"/>
        <v>4.5681000000000003</v>
      </c>
      <c r="I30" s="406">
        <f>G30*12</f>
        <v>945.9074888903483</v>
      </c>
      <c r="J30" s="427">
        <v>2017</v>
      </c>
    </row>
    <row r="31" spans="2:10" s="201" customFormat="1" x14ac:dyDescent="0.2">
      <c r="B31" s="223" t="s">
        <v>165</v>
      </c>
      <c r="C31" s="479">
        <v>52548</v>
      </c>
      <c r="D31" s="479">
        <v>9556</v>
      </c>
      <c r="E31" s="2"/>
      <c r="F31" s="397">
        <f>C31/'Ipoteze de lucru'!$C$15/12</f>
        <v>990.94817832088711</v>
      </c>
      <c r="G31" s="397">
        <f>D31/'Ipoteze de lucru'!$C$19/12</f>
        <v>174.32484694584912</v>
      </c>
      <c r="H31" s="2">
        <f t="shared" si="2"/>
        <v>4.5681000000000003</v>
      </c>
      <c r="I31" s="406">
        <f t="shared" ref="I31:I39" si="3">G31*12</f>
        <v>2091.8981633501894</v>
      </c>
      <c r="J31" s="427">
        <v>2017</v>
      </c>
    </row>
    <row r="32" spans="2:10" s="201" customFormat="1" x14ac:dyDescent="0.2">
      <c r="B32" s="223" t="s">
        <v>166</v>
      </c>
      <c r="C32" s="479">
        <v>37080</v>
      </c>
      <c r="D32" s="479">
        <v>3652</v>
      </c>
      <c r="E32" s="2"/>
      <c r="F32" s="397">
        <f>C32/'Ipoteze de lucru'!$C$15/12</f>
        <v>699.25322471147319</v>
      </c>
      <c r="G32" s="397">
        <f>D32/'Ipoteze de lucru'!$C$19/12</f>
        <v>66.621425392030233</v>
      </c>
      <c r="H32" s="2">
        <f t="shared" si="2"/>
        <v>4.5681000000000003</v>
      </c>
      <c r="I32" s="406">
        <f t="shared" si="3"/>
        <v>799.45710470436279</v>
      </c>
      <c r="J32" s="427">
        <v>2017</v>
      </c>
    </row>
    <row r="33" spans="1:10" x14ac:dyDescent="0.2">
      <c r="A33" s="201"/>
      <c r="B33" s="223" t="s">
        <v>167</v>
      </c>
      <c r="C33" s="479">
        <v>12678</v>
      </c>
      <c r="D33" s="479">
        <v>56333</v>
      </c>
      <c r="E33" s="2"/>
      <c r="F33" s="397">
        <f>C33/'Ipoteze de lucru'!$C$15/12</f>
        <v>239.08124009957007</v>
      </c>
      <c r="G33" s="397">
        <f>D33/'Ipoteze de lucru'!$C$19/12</f>
        <v>1027.6519048765715</v>
      </c>
      <c r="H33" s="2">
        <f t="shared" si="2"/>
        <v>4.5681000000000003</v>
      </c>
      <c r="I33" s="406">
        <f t="shared" si="3"/>
        <v>12331.822858518859</v>
      </c>
      <c r="J33" s="427">
        <v>2017</v>
      </c>
    </row>
    <row r="34" spans="1:10" x14ac:dyDescent="0.2">
      <c r="A34" s="201"/>
      <c r="B34" s="223" t="s">
        <v>168</v>
      </c>
      <c r="C34" s="479">
        <v>41108</v>
      </c>
      <c r="D34" s="479">
        <v>88902</v>
      </c>
      <c r="E34" s="2"/>
      <c r="F34" s="397">
        <f>C34/'Ipoteze de lucru'!$C$15/12</f>
        <v>775.21309496869583</v>
      </c>
      <c r="G34" s="397">
        <f>D34/'Ipoteze de lucru'!$C$19/12</f>
        <v>1621.7902410192421</v>
      </c>
      <c r="H34" s="2">
        <f t="shared" si="2"/>
        <v>4.5681000000000003</v>
      </c>
      <c r="I34" s="406">
        <f t="shared" si="3"/>
        <v>19461.482892230906</v>
      </c>
      <c r="J34" s="427">
        <v>2017</v>
      </c>
    </row>
    <row r="35" spans="1:10" x14ac:dyDescent="0.2">
      <c r="A35" s="201"/>
      <c r="B35" s="223" t="s">
        <v>169</v>
      </c>
      <c r="C35" s="479">
        <v>29632</v>
      </c>
      <c r="D35" s="479">
        <v>3020</v>
      </c>
      <c r="E35" s="2"/>
      <c r="F35" s="397">
        <f>C35/'Ipoteze de lucru'!$C$15/12</f>
        <v>558.79912499057104</v>
      </c>
      <c r="G35" s="397">
        <f>D35/'Ipoteze de lucru'!$C$19/12</f>
        <v>55.092197339521171</v>
      </c>
      <c r="H35" s="2">
        <f t="shared" si="2"/>
        <v>4.5681000000000003</v>
      </c>
      <c r="I35" s="406">
        <f t="shared" si="3"/>
        <v>661.10636807425408</v>
      </c>
      <c r="J35" s="427">
        <v>2017</v>
      </c>
    </row>
    <row r="36" spans="1:10" x14ac:dyDescent="0.2">
      <c r="A36" s="201"/>
      <c r="B36" s="223" t="s">
        <v>170</v>
      </c>
      <c r="C36" s="479">
        <v>34474</v>
      </c>
      <c r="D36" s="479">
        <v>6520</v>
      </c>
      <c r="E36" s="2"/>
      <c r="F36" s="397">
        <f>C36/'Ipoteze de lucru'!$C$15/12</f>
        <v>650.10937617862271</v>
      </c>
      <c r="G36" s="397">
        <f>D36/'Ipoteze de lucru'!$C$19/12</f>
        <v>118.94077041512519</v>
      </c>
      <c r="H36" s="2">
        <f t="shared" si="2"/>
        <v>4.5681000000000003</v>
      </c>
      <c r="I36" s="406">
        <f t="shared" si="3"/>
        <v>1427.2892449815022</v>
      </c>
      <c r="J36" s="427">
        <v>2017</v>
      </c>
    </row>
    <row r="37" spans="1:10" x14ac:dyDescent="0.2">
      <c r="A37" s="201"/>
      <c r="B37" s="223" t="s">
        <v>171</v>
      </c>
      <c r="C37" s="479">
        <v>21820</v>
      </c>
      <c r="D37" s="479">
        <v>22301</v>
      </c>
      <c r="E37" s="2"/>
      <c r="F37" s="397">
        <f>C37/'Ipoteze de lucru'!$C$15/12</f>
        <v>411.48072716300823</v>
      </c>
      <c r="G37" s="397">
        <f>D37/'Ipoteze de lucru'!$C$19/12</f>
        <v>406.82486518829859</v>
      </c>
      <c r="H37" s="2">
        <f t="shared" si="2"/>
        <v>4.5681000000000003</v>
      </c>
      <c r="I37" s="406">
        <f t="shared" si="3"/>
        <v>4881.8983822595828</v>
      </c>
      <c r="J37" s="427">
        <v>2017</v>
      </c>
    </row>
    <row r="38" spans="1:10" x14ac:dyDescent="0.2">
      <c r="A38" s="201"/>
      <c r="B38" s="223" t="s">
        <v>172</v>
      </c>
      <c r="C38" s="479">
        <v>7736</v>
      </c>
      <c r="D38" s="479">
        <v>2635</v>
      </c>
      <c r="E38" s="2"/>
      <c r="F38" s="397">
        <f>C38/'Ipoteze de lucru'!$C$15/12</f>
        <v>145.88519272836993</v>
      </c>
      <c r="G38" s="397">
        <f>D38/'Ipoteze de lucru'!$C$19/12</f>
        <v>48.06885430120473</v>
      </c>
      <c r="H38" s="2">
        <f t="shared" si="2"/>
        <v>4.5681000000000003</v>
      </c>
      <c r="I38" s="406">
        <f t="shared" si="3"/>
        <v>576.82625161445674</v>
      </c>
      <c r="J38" s="427">
        <v>2017</v>
      </c>
    </row>
    <row r="39" spans="1:10" x14ac:dyDescent="0.2">
      <c r="A39" s="201"/>
      <c r="B39" s="221" t="s">
        <v>173</v>
      </c>
      <c r="C39" s="479">
        <v>9171</v>
      </c>
      <c r="D39" s="479">
        <v>6893</v>
      </c>
      <c r="E39" s="2"/>
      <c r="F39" s="397">
        <f>C39/'Ipoteze de lucru'!$C$15/12</f>
        <v>172.94636795655128</v>
      </c>
      <c r="G39" s="397">
        <f>D39/'Ipoteze de lucru'!$C$19/12</f>
        <v>125.74520406003954</v>
      </c>
      <c r="H39" s="2">
        <f t="shared" si="2"/>
        <v>4.5681000000000003</v>
      </c>
      <c r="I39" s="406">
        <f t="shared" si="3"/>
        <v>1508.9424487204744</v>
      </c>
      <c r="J39" s="427">
        <v>2017</v>
      </c>
    </row>
    <row r="40" spans="1:10" x14ac:dyDescent="0.2">
      <c r="A40" s="201"/>
      <c r="B40" s="418" t="s">
        <v>174</v>
      </c>
      <c r="C40" s="479">
        <v>3467736</v>
      </c>
      <c r="D40" s="479">
        <v>896452</v>
      </c>
      <c r="E40" s="2"/>
      <c r="F40" s="420">
        <f>C40/'Ipoteze de lucru'!$C$15/12</f>
        <v>65394.433129667355</v>
      </c>
      <c r="G40" s="420">
        <f>D40/'Ipoteze de lucru'!$C$19/12</f>
        <v>16353.480294506102</v>
      </c>
      <c r="H40" s="2">
        <f t="shared" si="2"/>
        <v>15.925621188622452</v>
      </c>
      <c r="I40" s="422">
        <f>I78</f>
        <v>56289.923600621703</v>
      </c>
      <c r="J40" s="427" t="s">
        <v>175</v>
      </c>
    </row>
    <row r="41" spans="1:10" x14ac:dyDescent="0.2">
      <c r="A41" s="201"/>
      <c r="B41" s="418" t="s">
        <v>176</v>
      </c>
      <c r="C41" s="479">
        <v>174182</v>
      </c>
      <c r="D41" s="479">
        <v>91502</v>
      </c>
      <c r="E41" s="2"/>
      <c r="F41" s="397">
        <f>C41/'Ipoteze de lucru'!$C$15/12</f>
        <v>3284.7175077317647</v>
      </c>
      <c r="G41" s="397">
        <f>D41/'Ipoteze de lucru'!$C$19/12</f>
        <v>1669.2206095896909</v>
      </c>
      <c r="H41" s="2">
        <f t="shared" si="2"/>
        <v>4.5681000000000003</v>
      </c>
      <c r="I41" s="408">
        <f>D41/'Ipoteze de lucru'!$C$19</f>
        <v>20030.64731507629</v>
      </c>
      <c r="J41" s="427" t="s">
        <v>177</v>
      </c>
    </row>
    <row r="42" spans="1:10" x14ac:dyDescent="0.2">
      <c r="A42" s="201"/>
      <c r="B42" s="418" t="s">
        <v>178</v>
      </c>
      <c r="C42" s="479">
        <v>435549</v>
      </c>
      <c r="D42" s="479">
        <v>234563</v>
      </c>
      <c r="E42" s="2"/>
      <c r="F42" s="397">
        <f>C42/'Ipoteze de lucru'!$C$15/12</f>
        <v>8213.5664177415711</v>
      </c>
      <c r="G42" s="467">
        <f>(D42-108704)/'Ipoteze de lucru'!$C$19/12</f>
        <v>2295.9764453492699</v>
      </c>
      <c r="H42" s="2"/>
      <c r="I42" s="462">
        <f t="shared" ref="I42:I43" si="4">G42*12</f>
        <v>27551.717344191238</v>
      </c>
      <c r="J42" s="427" t="s">
        <v>155</v>
      </c>
    </row>
    <row r="43" spans="1:10" x14ac:dyDescent="0.2">
      <c r="A43" s="201"/>
      <c r="B43" s="418" t="s">
        <v>179</v>
      </c>
      <c r="C43" s="479">
        <v>317505</v>
      </c>
      <c r="D43" s="479">
        <v>286333</v>
      </c>
      <c r="E43" s="2"/>
      <c r="F43" s="397">
        <f>C43/'Ipoteze de lucru'!$C$15/12</f>
        <v>5987.4971713057266</v>
      </c>
      <c r="G43" s="397">
        <f>D43/'Ipoteze de lucru'!$C$19/12</f>
        <v>5223.4152784162634</v>
      </c>
      <c r="H43" s="2">
        <f t="shared" si="2"/>
        <v>4.5681000000000003</v>
      </c>
      <c r="I43" s="406">
        <f t="shared" si="4"/>
        <v>62680.983340995161</v>
      </c>
      <c r="J43" s="427">
        <v>2017</v>
      </c>
    </row>
    <row r="44" spans="1:10" x14ac:dyDescent="0.2">
      <c r="A44" s="201"/>
      <c r="B44" s="206" t="s">
        <v>180</v>
      </c>
      <c r="C44" s="222"/>
      <c r="D44" s="222"/>
      <c r="E44" s="2"/>
      <c r="F44" s="2"/>
      <c r="G44" s="2"/>
      <c r="H44" s="2"/>
      <c r="I44" s="207"/>
      <c r="J44" s="424"/>
    </row>
    <row r="45" spans="1:10" x14ac:dyDescent="0.2">
      <c r="A45" s="201"/>
      <c r="B45" s="386" t="s">
        <v>181</v>
      </c>
      <c r="C45" s="478">
        <v>357421</v>
      </c>
      <c r="D45" s="336">
        <v>0</v>
      </c>
      <c r="E45" s="2"/>
      <c r="F45" s="420">
        <f>C45/'Ipoteze de lucru'!$C$15/12</f>
        <v>6740.2315757712904</v>
      </c>
      <c r="G45" s="420">
        <f>D45/'Ipoteze de lucru'!$C$19/12</f>
        <v>0</v>
      </c>
      <c r="H45" s="2"/>
      <c r="I45" s="207"/>
      <c r="J45" s="424"/>
    </row>
    <row r="46" spans="1:10" x14ac:dyDescent="0.2">
      <c r="A46" s="201"/>
      <c r="B46" s="205" t="s">
        <v>61</v>
      </c>
      <c r="C46" s="336">
        <f t="shared" ref="C46" si="5">SUM(C47:C49)</f>
        <v>3061553</v>
      </c>
      <c r="D46" s="336">
        <f>SUM(D47:D49)</f>
        <v>581865</v>
      </c>
      <c r="E46" s="2"/>
      <c r="F46" s="399">
        <f t="shared" ref="F46:G46" si="6">SUM(F47:F49)</f>
        <v>57734.649619069183</v>
      </c>
      <c r="G46" s="399">
        <f t="shared" si="6"/>
        <v>10614.642849324664</v>
      </c>
      <c r="H46" s="2">
        <f t="shared" si="2"/>
        <v>4.5681000000000003</v>
      </c>
      <c r="I46" s="407">
        <f>SUM(I47:I49)</f>
        <v>127375.71419189597</v>
      </c>
      <c r="J46" s="424"/>
    </row>
    <row r="47" spans="1:10" x14ac:dyDescent="0.2">
      <c r="A47" s="201"/>
      <c r="B47" s="206" t="s">
        <v>182</v>
      </c>
      <c r="C47" s="479">
        <v>2075321</v>
      </c>
      <c r="D47" s="479">
        <v>256453</v>
      </c>
      <c r="E47" s="2"/>
      <c r="F47" s="420">
        <f>C47/'Ipoteze de lucru'!$C$15/12</f>
        <v>39136.324206079815</v>
      </c>
      <c r="G47" s="420">
        <f>D47/'Ipoteze de lucru'!$C$19/12</f>
        <v>4678.3308888451065</v>
      </c>
      <c r="H47" s="2">
        <f t="shared" si="2"/>
        <v>4.5681000000000003</v>
      </c>
      <c r="I47" s="408">
        <f>D47/'Ipoteze de lucru'!$C$19</f>
        <v>56139.970666141278</v>
      </c>
      <c r="J47" s="427" t="s">
        <v>162</v>
      </c>
    </row>
    <row r="48" spans="1:10" x14ac:dyDescent="0.2">
      <c r="A48" s="201"/>
      <c r="B48" s="206" t="s">
        <v>183</v>
      </c>
      <c r="C48" s="479">
        <v>953666</v>
      </c>
      <c r="D48" s="479">
        <v>325412</v>
      </c>
      <c r="E48" s="2"/>
      <c r="F48" s="420">
        <f>C48/'Ipoteze de lucru'!$C$15/12</f>
        <v>17984.197027985218</v>
      </c>
      <c r="G48" s="420">
        <f>D48/'Ipoteze de lucru'!$C$19/12</f>
        <v>5936.3119604795575</v>
      </c>
      <c r="H48" s="2">
        <f t="shared" si="2"/>
        <v>4.5681000000000003</v>
      </c>
      <c r="I48" s="408">
        <f>D48/'Ipoteze de lucru'!$C$19</f>
        <v>71235.743525754689</v>
      </c>
      <c r="J48" s="427" t="s">
        <v>162</v>
      </c>
    </row>
    <row r="49" spans="1:10" x14ac:dyDescent="0.2">
      <c r="A49" s="201"/>
      <c r="B49" s="206" t="s">
        <v>184</v>
      </c>
      <c r="C49" s="479">
        <v>32566</v>
      </c>
      <c r="D49" s="222">
        <v>0</v>
      </c>
      <c r="E49" s="2"/>
      <c r="F49" s="420">
        <f>C49/'Ipoteze de lucru'!$C$15/12</f>
        <v>614.12838500414875</v>
      </c>
      <c r="G49" s="420">
        <f>D49/'Ipoteze de lucru'!$C$19/12</f>
        <v>0</v>
      </c>
      <c r="H49" s="2"/>
      <c r="I49" s="423">
        <f>D49/'Ipoteze de lucru'!$C$19</f>
        <v>0</v>
      </c>
      <c r="J49" s="424" t="s">
        <v>185</v>
      </c>
    </row>
    <row r="50" spans="1:10" x14ac:dyDescent="0.2">
      <c r="A50" s="201"/>
      <c r="B50" s="205" t="s">
        <v>186</v>
      </c>
      <c r="C50" s="478">
        <v>207543</v>
      </c>
      <c r="D50" s="336">
        <v>0</v>
      </c>
      <c r="E50" s="2"/>
      <c r="F50" s="421">
        <f>C50/'Ipoteze de lucru'!$C$15/12</f>
        <v>3913.8379723919443</v>
      </c>
      <c r="G50" s="421">
        <f>D50/'Ipoteze de lucru'!$C$19/12</f>
        <v>0</v>
      </c>
      <c r="H50" s="2"/>
      <c r="I50" s="424"/>
      <c r="J50" s="424"/>
    </row>
    <row r="51" spans="1:10" x14ac:dyDescent="0.2">
      <c r="A51" s="201"/>
      <c r="B51" s="205" t="s">
        <v>187</v>
      </c>
      <c r="C51" s="336">
        <f>SUM(C52:C53)</f>
        <v>1756850</v>
      </c>
      <c r="D51" s="336">
        <f>SUM(D52:D53)</f>
        <v>415459</v>
      </c>
      <c r="E51" s="2"/>
      <c r="F51" s="399">
        <f t="shared" ref="F51:G51" si="7">SUM(F52:F53)</f>
        <v>33130.610243644871</v>
      </c>
      <c r="G51" s="399">
        <f t="shared" si="7"/>
        <v>7578.9898061192471</v>
      </c>
      <c r="H51" s="2"/>
      <c r="I51" s="406"/>
      <c r="J51" s="424"/>
    </row>
    <row r="52" spans="1:10" x14ac:dyDescent="0.2">
      <c r="A52" s="201"/>
      <c r="B52" s="206" t="s">
        <v>188</v>
      </c>
      <c r="C52" s="479">
        <v>234529</v>
      </c>
      <c r="D52" s="479">
        <v>89563</v>
      </c>
      <c r="E52" s="2"/>
      <c r="F52" s="397">
        <f>C52/'Ipoteze de lucru'!$C$15/12</f>
        <v>4422.7389303764057</v>
      </c>
      <c r="G52" s="397">
        <f>D52/'Ipoteze de lucru'!$C$19/12</f>
        <v>1633.8485001058061</v>
      </c>
      <c r="H52" s="2"/>
      <c r="I52" s="408"/>
      <c r="J52" s="424"/>
    </row>
    <row r="53" spans="1:10" x14ac:dyDescent="0.2">
      <c r="A53" s="201"/>
      <c r="B53" s="206" t="s">
        <v>189</v>
      </c>
      <c r="C53" s="479">
        <v>1522321</v>
      </c>
      <c r="D53" s="479">
        <v>325896</v>
      </c>
      <c r="E53" s="2"/>
      <c r="F53" s="397">
        <f>C53/'Ipoteze de lucru'!$C$15/12</f>
        <v>28707.871313268464</v>
      </c>
      <c r="G53" s="397">
        <f>D53/'Ipoteze de lucru'!$C$19/12</f>
        <v>5945.141306013441</v>
      </c>
      <c r="H53" s="2"/>
      <c r="I53" s="408"/>
      <c r="J53" s="424"/>
    </row>
    <row r="54" spans="1:10" x14ac:dyDescent="0.2">
      <c r="A54" s="201"/>
      <c r="B54" s="205" t="s">
        <v>190</v>
      </c>
      <c r="C54" s="336"/>
      <c r="D54" s="336">
        <v>0</v>
      </c>
      <c r="E54" s="2"/>
      <c r="F54" s="2"/>
      <c r="G54" s="2"/>
      <c r="H54" s="2"/>
      <c r="J54" s="424"/>
    </row>
    <row r="55" spans="1:10" x14ac:dyDescent="0.2">
      <c r="A55" s="201"/>
      <c r="B55" s="205" t="s">
        <v>191</v>
      </c>
      <c r="C55" s="336">
        <f>C4+C6+C14+C17+C19+C21+C45+C46+C50+C51+C54</f>
        <v>41676916</v>
      </c>
      <c r="D55" s="336">
        <f>D4+D6+D14+D17+D19+D21+D45+D46+D50+D51+D54</f>
        <v>28477322</v>
      </c>
      <c r="E55" s="306"/>
      <c r="F55" s="399"/>
      <c r="G55" s="399"/>
      <c r="H55" s="2"/>
      <c r="I55" s="407">
        <f>I21+I46</f>
        <v>903919.35377947055</v>
      </c>
      <c r="J55" s="424"/>
    </row>
    <row r="56" spans="1:10" x14ac:dyDescent="0.2">
      <c r="A56" s="201"/>
      <c r="B56" s="243" t="s">
        <v>192</v>
      </c>
      <c r="C56" s="18"/>
      <c r="D56" s="18"/>
      <c r="E56" s="306"/>
      <c r="F56" s="306"/>
      <c r="G56" s="306"/>
      <c r="H56" s="2"/>
      <c r="I56" s="407">
        <f>I55/12</f>
        <v>75326.612814955879</v>
      </c>
      <c r="J56" s="424"/>
    </row>
    <row r="57" spans="1:10" x14ac:dyDescent="0.2">
      <c r="A57" s="201"/>
      <c r="C57" s="419"/>
      <c r="D57" s="419"/>
      <c r="E57" s="306"/>
      <c r="F57" s="306"/>
      <c r="G57" s="306"/>
      <c r="H57" s="2"/>
      <c r="J57" s="424"/>
    </row>
    <row r="58" spans="1:10" x14ac:dyDescent="0.2">
      <c r="A58" s="201"/>
      <c r="B58" s="1" t="s">
        <v>193</v>
      </c>
      <c r="C58" s="309">
        <f>SUM(C60:C62)</f>
        <v>35097569</v>
      </c>
      <c r="D58" s="309">
        <f>SUM(D60:D62)</f>
        <v>21762365</v>
      </c>
      <c r="E58" s="1"/>
      <c r="F58" s="1"/>
      <c r="G58" s="1"/>
      <c r="H58" s="2"/>
      <c r="J58" s="424"/>
    </row>
    <row r="59" spans="1:10" x14ac:dyDescent="0.2">
      <c r="A59" s="201"/>
      <c r="B59" s="317" t="s">
        <v>194</v>
      </c>
      <c r="C59" s="309"/>
      <c r="D59" s="309"/>
      <c r="E59" s="1"/>
      <c r="F59" s="1"/>
      <c r="G59" s="1"/>
      <c r="H59" s="2"/>
      <c r="J59" s="424"/>
    </row>
    <row r="60" spans="1:10" x14ac:dyDescent="0.2">
      <c r="A60" s="201"/>
      <c r="B60" s="381" t="s">
        <v>195</v>
      </c>
      <c r="C60" s="481">
        <v>33853333</v>
      </c>
      <c r="D60" s="481">
        <v>13562987</v>
      </c>
      <c r="E60" s="1"/>
      <c r="F60" s="1"/>
      <c r="G60" s="1"/>
      <c r="H60" s="2"/>
      <c r="J60" s="424"/>
    </row>
    <row r="61" spans="1:10" x14ac:dyDescent="0.2">
      <c r="A61" s="201"/>
      <c r="B61" s="381" t="s">
        <v>196</v>
      </c>
      <c r="C61" s="380">
        <v>0</v>
      </c>
      <c r="D61" s="481">
        <v>3894255</v>
      </c>
      <c r="E61" s="1"/>
      <c r="F61" s="1"/>
      <c r="G61" s="1"/>
      <c r="H61" s="2"/>
      <c r="J61" s="424"/>
    </row>
    <row r="62" spans="1:10" x14ac:dyDescent="0.2">
      <c r="A62" s="201"/>
      <c r="B62" s="381" t="s">
        <v>197</v>
      </c>
      <c r="C62" s="481">
        <v>1244236</v>
      </c>
      <c r="D62" s="481">
        <v>4305123</v>
      </c>
      <c r="E62" s="1"/>
      <c r="F62" s="1"/>
      <c r="G62" s="1"/>
      <c r="H62" s="2"/>
      <c r="J62" s="424"/>
    </row>
    <row r="63" spans="1:10" x14ac:dyDescent="0.2">
      <c r="A63" s="201"/>
      <c r="B63" s="381" t="s">
        <v>198</v>
      </c>
      <c r="C63" s="481">
        <v>8101016</v>
      </c>
      <c r="D63" s="481">
        <v>563200</v>
      </c>
      <c r="E63" s="1"/>
      <c r="F63" s="1"/>
      <c r="G63" s="1"/>
      <c r="H63" s="2"/>
      <c r="J63" s="424"/>
    </row>
    <row r="64" spans="1:10" x14ac:dyDescent="0.2">
      <c r="A64" s="201"/>
      <c r="B64" s="382" t="s">
        <v>199</v>
      </c>
      <c r="C64" s="309">
        <f>SUM(C60:C62)-C63</f>
        <v>26996553</v>
      </c>
      <c r="D64" s="309">
        <f>SUM(D60:D62)-D63</f>
        <v>21199165</v>
      </c>
      <c r="E64" s="1"/>
      <c r="F64" s="1"/>
      <c r="G64" s="1"/>
      <c r="H64" s="2"/>
      <c r="J64" s="424"/>
    </row>
    <row r="65" spans="1:10" x14ac:dyDescent="0.2">
      <c r="A65" s="201"/>
      <c r="B65" s="382" t="s">
        <v>106</v>
      </c>
      <c r="C65" s="309">
        <f>SUM(C4,C6,C17,C19,C54)</f>
        <v>21782863</v>
      </c>
      <c r="D65" s="309">
        <f>SUM(D4,D6,D17,D19,D54)</f>
        <v>21162441</v>
      </c>
      <c r="E65" s="1"/>
      <c r="F65" s="1"/>
      <c r="G65" s="1"/>
      <c r="H65" s="2"/>
      <c r="J65" s="424"/>
    </row>
    <row r="66" spans="1:10" x14ac:dyDescent="0.2">
      <c r="A66" s="201"/>
      <c r="B66" s="382" t="s">
        <v>200</v>
      </c>
      <c r="C66" s="309">
        <f>C64-C65</f>
        <v>5213690</v>
      </c>
      <c r="D66" s="309">
        <f t="shared" ref="D66" si="8">D64-D65</f>
        <v>36724</v>
      </c>
      <c r="E66" s="1"/>
      <c r="F66" s="1"/>
      <c r="G66" s="1"/>
      <c r="H66" s="2"/>
      <c r="J66" s="424"/>
    </row>
    <row r="67" spans="1:10" x14ac:dyDescent="0.2">
      <c r="A67" s="201"/>
      <c r="B67" s="1" t="s">
        <v>201</v>
      </c>
      <c r="C67" s="309">
        <f>C64-C55</f>
        <v>-14680363</v>
      </c>
      <c r="D67" s="309">
        <f>D64-D55</f>
        <v>-7278157</v>
      </c>
      <c r="E67" s="1"/>
      <c r="F67" s="1"/>
      <c r="G67" s="1"/>
      <c r="H67" s="2"/>
      <c r="J67" s="424"/>
    </row>
    <row r="68" spans="1:10" x14ac:dyDescent="0.2">
      <c r="A68" s="201"/>
      <c r="B68" s="1"/>
      <c r="C68" s="1"/>
      <c r="D68" s="1"/>
      <c r="E68" s="1"/>
      <c r="F68" s="1"/>
      <c r="G68" s="1"/>
      <c r="H68" s="2"/>
      <c r="J68" s="424"/>
    </row>
    <row r="69" spans="1:10" x14ac:dyDescent="0.2">
      <c r="A69" s="201"/>
      <c r="B69" s="1"/>
      <c r="C69" s="1"/>
      <c r="D69" s="1"/>
      <c r="E69" s="1"/>
      <c r="F69" s="1"/>
      <c r="G69" s="1"/>
      <c r="H69" s="2"/>
      <c r="I69" s="424"/>
      <c r="J69" s="424"/>
    </row>
    <row r="70" spans="1:10" x14ac:dyDescent="0.2">
      <c r="B70" s="1"/>
      <c r="C70" s="309"/>
      <c r="D70" s="309"/>
      <c r="E70" s="1"/>
      <c r="F70" s="1"/>
      <c r="G70" s="1"/>
      <c r="H70" s="2"/>
      <c r="I70" s="424"/>
      <c r="J70" s="424"/>
    </row>
    <row r="71" spans="1:10" x14ac:dyDescent="0.2">
      <c r="B71" s="404" t="s">
        <v>174</v>
      </c>
      <c r="C71" s="405">
        <v>2013</v>
      </c>
      <c r="D71" s="405">
        <v>2017</v>
      </c>
      <c r="E71" s="1"/>
      <c r="F71" s="1"/>
      <c r="G71" s="1"/>
      <c r="H71" s="2"/>
      <c r="I71" s="424"/>
      <c r="J71" s="424"/>
    </row>
    <row r="72" spans="1:10" x14ac:dyDescent="0.2">
      <c r="B72" s="1" t="s">
        <v>202</v>
      </c>
      <c r="C72" s="482">
        <v>502452</v>
      </c>
      <c r="D72" s="482">
        <v>33569</v>
      </c>
      <c r="E72" s="1"/>
      <c r="F72" s="397">
        <f>C72/'Ipoteze de lucru'!$C$15/12</f>
        <v>9475.2206381534288</v>
      </c>
      <c r="G72" s="397">
        <f>D72/'Ipoteze de lucru'!$C$19/12</f>
        <v>612.38078559284315</v>
      </c>
      <c r="H72" s="2"/>
      <c r="I72" s="423">
        <v>0</v>
      </c>
      <c r="J72" s="424" t="s">
        <v>203</v>
      </c>
    </row>
    <row r="73" spans="1:10" x14ac:dyDescent="0.2">
      <c r="B73" s="1" t="s">
        <v>204</v>
      </c>
      <c r="C73" s="482">
        <v>389562</v>
      </c>
      <c r="D73" s="482">
        <v>222569</v>
      </c>
      <c r="E73" s="1"/>
      <c r="F73" s="397">
        <f>C73/'Ipoteze de lucru'!$C$15/12</f>
        <v>7346.3453269970587</v>
      </c>
      <c r="G73" s="397">
        <f>D73/'Ipoteze de lucru'!$C$19/12</f>
        <v>4060.2037316754595</v>
      </c>
      <c r="H73" s="2">
        <f t="shared" si="2"/>
        <v>4.5681000000000003</v>
      </c>
      <c r="I73" s="406">
        <f>G73*12</f>
        <v>48722.444780105514</v>
      </c>
      <c r="J73" s="427">
        <v>2017</v>
      </c>
    </row>
    <row r="74" spans="1:10" x14ac:dyDescent="0.2">
      <c r="B74" s="1" t="s">
        <v>205</v>
      </c>
      <c r="C74" s="482">
        <v>563214</v>
      </c>
      <c r="D74" s="482">
        <v>83694</v>
      </c>
      <c r="E74" s="1"/>
      <c r="F74" s="397">
        <f>C74/'Ipoteze de lucru'!$C$15/12</f>
        <v>10621.068114958136</v>
      </c>
      <c r="G74" s="397">
        <f>D74/'Ipoteze de lucru'!$C$19/12</f>
        <v>1526.7835642827433</v>
      </c>
      <c r="H74" s="2"/>
      <c r="I74" s="423">
        <v>0</v>
      </c>
      <c r="J74" s="424" t="s">
        <v>206</v>
      </c>
    </row>
    <row r="75" spans="1:10" x14ac:dyDescent="0.2">
      <c r="B75" s="1" t="s">
        <v>207</v>
      </c>
      <c r="C75" s="482">
        <v>789321</v>
      </c>
      <c r="D75" s="482">
        <v>569321</v>
      </c>
      <c r="E75" s="1"/>
      <c r="F75" s="397">
        <f>C75/'Ipoteze de lucru'!$C$15/12</f>
        <v>14884.985290789773</v>
      </c>
      <c r="G75" s="397">
        <f>D75/'Ipoteze de lucru'!$C$19/12</f>
        <v>10385.809563421699</v>
      </c>
      <c r="H75" s="2"/>
      <c r="I75" s="423">
        <v>0</v>
      </c>
      <c r="J75" s="424" t="s">
        <v>203</v>
      </c>
    </row>
    <row r="76" spans="1:10" x14ac:dyDescent="0.2">
      <c r="B76" s="1" t="s">
        <v>208</v>
      </c>
      <c r="C76" s="482">
        <v>45632</v>
      </c>
      <c r="D76" s="482">
        <v>34569</v>
      </c>
      <c r="E76" s="1"/>
      <c r="F76" s="397">
        <f>C76/'Ipoteze de lucru'!$C$15/12</f>
        <v>860.52651429433524</v>
      </c>
      <c r="G76" s="397">
        <f>D76/'Ipoteze de lucru'!$C$19/12</f>
        <v>630.6232350430156</v>
      </c>
      <c r="H76" s="2">
        <f t="shared" si="2"/>
        <v>4.5681000000000003</v>
      </c>
      <c r="I76" s="406">
        <f>G76*12</f>
        <v>7567.4788205161876</v>
      </c>
      <c r="J76" s="427">
        <v>2017</v>
      </c>
    </row>
    <row r="77" spans="1:10" x14ac:dyDescent="0.2">
      <c r="B77" s="1" t="s">
        <v>209</v>
      </c>
      <c r="C77" s="483">
        <v>582369</v>
      </c>
      <c r="D77" s="483">
        <v>263987</v>
      </c>
      <c r="E77" s="1"/>
      <c r="F77" s="400">
        <f>C77/'Ipoteze de lucru'!$C$15/12</f>
        <v>10982.292373840237</v>
      </c>
      <c r="G77" s="400">
        <f>D77/'Ipoteze de lucru'!$C$19/12</f>
        <v>4815.7695030027071</v>
      </c>
      <c r="H77" s="2"/>
      <c r="I77" s="425">
        <v>0</v>
      </c>
      <c r="J77" s="424" t="s">
        <v>203</v>
      </c>
    </row>
    <row r="78" spans="1:10" x14ac:dyDescent="0.2">
      <c r="B78" s="1"/>
      <c r="C78" s="380">
        <f>SUM(C72:C77)</f>
        <v>2872550</v>
      </c>
      <c r="D78" s="380">
        <f>SUM(D72:D77)</f>
        <v>1207709</v>
      </c>
      <c r="E78" s="1"/>
      <c r="F78" s="401">
        <f>SUM(F72:F77)</f>
        <v>54170.438259032962</v>
      </c>
      <c r="G78" s="401">
        <f>SUM(G72:G77)</f>
        <v>22031.570383018465</v>
      </c>
      <c r="H78" s="2">
        <f t="shared" si="2"/>
        <v>21.455154364193547</v>
      </c>
      <c r="I78" s="426">
        <f>SUM(I72:I77)</f>
        <v>56289.923600621703</v>
      </c>
      <c r="J78" s="424"/>
    </row>
    <row r="79" spans="1:10" x14ac:dyDescent="0.2">
      <c r="B79" s="1"/>
      <c r="C79" s="1"/>
      <c r="D79" s="1"/>
      <c r="E79" s="1"/>
      <c r="F79" s="1"/>
      <c r="G79" s="1"/>
      <c r="H79" s="2"/>
      <c r="I79" s="424"/>
      <c r="J79" s="424"/>
    </row>
    <row r="80" spans="1:10" x14ac:dyDescent="0.2">
      <c r="B80" s="1"/>
      <c r="C80" s="1"/>
      <c r="D80" s="1"/>
      <c r="E80" s="1"/>
      <c r="F80" s="1"/>
      <c r="G80" s="1"/>
      <c r="H80" s="2"/>
      <c r="I80" s="424"/>
      <c r="J80" s="424"/>
    </row>
    <row r="81" spans="2:10" x14ac:dyDescent="0.2">
      <c r="B81" s="1"/>
      <c r="C81" s="1"/>
      <c r="D81" s="1"/>
      <c r="E81" s="1"/>
      <c r="F81" s="1"/>
      <c r="G81" s="1"/>
      <c r="H81" s="2"/>
      <c r="I81" s="424"/>
      <c r="J81" s="424"/>
    </row>
    <row r="82" spans="2:10" x14ac:dyDescent="0.2">
      <c r="B82" s="1"/>
      <c r="C82" s="1"/>
      <c r="D82" s="1"/>
      <c r="E82" s="1"/>
      <c r="F82" s="1"/>
      <c r="G82" s="1"/>
      <c r="H82" s="2"/>
      <c r="J82" s="424"/>
    </row>
    <row r="83" spans="2:10" x14ac:dyDescent="0.2">
      <c r="B83" s="1"/>
      <c r="C83" s="1"/>
      <c r="D83" s="1"/>
      <c r="E83" s="1"/>
      <c r="F83" s="1"/>
      <c r="G83" s="1"/>
      <c r="H83" s="2"/>
      <c r="J83" s="424"/>
    </row>
    <row r="84" spans="2:10" x14ac:dyDescent="0.2">
      <c r="B84" s="1"/>
      <c r="C84" s="1"/>
      <c r="D84" s="1"/>
      <c r="E84" s="1"/>
      <c r="F84" s="1"/>
      <c r="G84" s="1"/>
      <c r="H84" s="2"/>
      <c r="J84" s="424"/>
    </row>
    <row r="85" spans="2:10" x14ac:dyDescent="0.2">
      <c r="B85" s="1"/>
      <c r="C85" s="1"/>
      <c r="D85" s="1"/>
      <c r="E85" s="1"/>
      <c r="F85" s="1"/>
      <c r="G85" s="1"/>
      <c r="H85" s="2"/>
      <c r="J85" s="424"/>
    </row>
    <row r="86" spans="2:10" x14ac:dyDescent="0.2">
      <c r="B86" s="1"/>
      <c r="C86" s="1"/>
      <c r="D86" s="1"/>
      <c r="E86" s="1"/>
      <c r="F86" s="1"/>
      <c r="G86" s="1"/>
      <c r="H86" s="2"/>
      <c r="J86" s="424"/>
    </row>
    <row r="87" spans="2:10" x14ac:dyDescent="0.2">
      <c r="B87" s="1"/>
      <c r="C87" s="1"/>
      <c r="D87" s="1"/>
      <c r="E87" s="1"/>
      <c r="F87" s="1"/>
      <c r="G87" s="1"/>
      <c r="H87" s="2"/>
      <c r="J87" s="424"/>
    </row>
    <row r="88" spans="2:10" x14ac:dyDescent="0.2">
      <c r="B88" s="1"/>
      <c r="C88" s="1"/>
      <c r="D88" s="1"/>
      <c r="E88" s="1"/>
      <c r="F88" s="1"/>
      <c r="G88" s="1"/>
      <c r="H88" s="2"/>
      <c r="J88" s="424"/>
    </row>
    <row r="89" spans="2:10" x14ac:dyDescent="0.2">
      <c r="B89" s="1"/>
      <c r="C89" s="1"/>
      <c r="D89" s="1"/>
      <c r="E89" s="1"/>
      <c r="F89" s="1"/>
      <c r="G89" s="1"/>
      <c r="H89" s="2"/>
      <c r="J89" s="424"/>
    </row>
    <row r="90" spans="2:10" x14ac:dyDescent="0.2">
      <c r="B90" s="1"/>
      <c r="C90" s="1"/>
      <c r="D90" s="1"/>
      <c r="E90" s="1"/>
      <c r="F90" s="1"/>
      <c r="G90" s="1"/>
      <c r="H90" s="2"/>
      <c r="J90" s="424"/>
    </row>
    <row r="91" spans="2:10" x14ac:dyDescent="0.2">
      <c r="B91" s="1"/>
      <c r="C91" s="1"/>
      <c r="D91" s="1"/>
      <c r="E91" s="1"/>
      <c r="F91" s="1"/>
      <c r="G91" s="1"/>
      <c r="H91" s="2"/>
      <c r="J91" s="424"/>
    </row>
    <row r="92" spans="2:10" x14ac:dyDescent="0.2">
      <c r="B92" s="1"/>
      <c r="C92" s="1"/>
      <c r="D92" s="1"/>
      <c r="E92" s="1"/>
      <c r="F92" s="1"/>
      <c r="G92" s="1"/>
      <c r="H92" s="2"/>
      <c r="J92" s="424"/>
    </row>
    <row r="93" spans="2:10" x14ac:dyDescent="0.2">
      <c r="B93" s="1"/>
      <c r="C93" s="1"/>
      <c r="D93" s="1"/>
      <c r="E93" s="1"/>
      <c r="F93" s="1"/>
      <c r="G93" s="1"/>
      <c r="H93" s="2"/>
      <c r="J93" s="424"/>
    </row>
    <row r="94" spans="2:10" x14ac:dyDescent="0.2">
      <c r="B94" s="1"/>
      <c r="C94" s="1"/>
      <c r="D94" s="1"/>
      <c r="E94" s="1"/>
      <c r="F94" s="1"/>
      <c r="G94" s="1"/>
      <c r="H94" s="2"/>
      <c r="J94" s="424"/>
    </row>
    <row r="95" spans="2:10" x14ac:dyDescent="0.2">
      <c r="B95" s="1"/>
      <c r="C95" s="1"/>
      <c r="D95" s="1"/>
      <c r="E95" s="1"/>
      <c r="F95" s="1"/>
      <c r="G95" s="1"/>
      <c r="H95" s="2"/>
      <c r="J95" s="424"/>
    </row>
    <row r="96" spans="2:10" x14ac:dyDescent="0.2">
      <c r="B96" s="1"/>
      <c r="C96" s="1"/>
      <c r="D96" s="1"/>
      <c r="E96" s="1"/>
      <c r="F96" s="1"/>
      <c r="G96" s="1"/>
      <c r="H96" s="2"/>
    </row>
    <row r="97" spans="2:8" x14ac:dyDescent="0.2">
      <c r="B97" s="1"/>
      <c r="C97" s="1"/>
      <c r="D97" s="1"/>
      <c r="E97" s="1"/>
      <c r="F97" s="1"/>
      <c r="G97" s="1"/>
      <c r="H97" s="2"/>
    </row>
    <row r="98" spans="2:8" x14ac:dyDescent="0.2">
      <c r="B98" s="1"/>
      <c r="C98" s="1"/>
      <c r="D98" s="1"/>
      <c r="E98" s="1"/>
      <c r="F98" s="1"/>
      <c r="G98" s="1"/>
      <c r="H98" s="2"/>
    </row>
    <row r="99" spans="2:8" x14ac:dyDescent="0.2">
      <c r="B99" s="1"/>
      <c r="C99" s="1"/>
      <c r="D99" s="1"/>
      <c r="E99" s="1"/>
      <c r="F99" s="1"/>
      <c r="G99" s="1"/>
      <c r="H99" s="2"/>
    </row>
    <row r="100" spans="2:8" x14ac:dyDescent="0.2">
      <c r="B100" s="1"/>
      <c r="C100" s="1"/>
      <c r="D100" s="1"/>
      <c r="E100" s="1"/>
      <c r="F100" s="1"/>
      <c r="G100" s="1"/>
      <c r="H100" s="2"/>
    </row>
    <row r="101" spans="2:8" x14ac:dyDescent="0.2">
      <c r="B101" s="1"/>
      <c r="C101" s="1"/>
      <c r="D101" s="1"/>
      <c r="E101" s="1"/>
      <c r="F101" s="1"/>
      <c r="G101" s="1"/>
      <c r="H101" s="2"/>
    </row>
    <row r="102" spans="2:8" x14ac:dyDescent="0.2">
      <c r="B102" s="1"/>
      <c r="C102" s="1"/>
      <c r="D102" s="1"/>
      <c r="E102" s="1"/>
      <c r="F102" s="1"/>
      <c r="G102" s="1"/>
      <c r="H102" s="2"/>
    </row>
    <row r="103" spans="2:8" x14ac:dyDescent="0.2">
      <c r="B103" s="1"/>
      <c r="C103" s="1"/>
      <c r="D103" s="1"/>
      <c r="E103" s="1"/>
      <c r="F103" s="1"/>
      <c r="G103" s="1"/>
      <c r="H103" s="2"/>
    </row>
    <row r="104" spans="2:8" x14ac:dyDescent="0.2">
      <c r="E104" s="1"/>
      <c r="F104" s="1"/>
      <c r="G104" s="1"/>
      <c r="H104" s="2"/>
    </row>
    <row r="105" spans="2:8" x14ac:dyDescent="0.2">
      <c r="E105" s="1"/>
      <c r="F105" s="1"/>
      <c r="G105" s="1"/>
      <c r="H105" s="2"/>
    </row>
    <row r="106" spans="2:8" x14ac:dyDescent="0.2">
      <c r="H106" s="2"/>
    </row>
    <row r="107" spans="2:8" x14ac:dyDescent="0.2">
      <c r="H107" s="2"/>
    </row>
    <row r="108" spans="2:8" x14ac:dyDescent="0.2">
      <c r="H108" s="2"/>
    </row>
  </sheetData>
  <mergeCells count="2">
    <mergeCell ref="I2:I4"/>
    <mergeCell ref="J2:J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2:I138"/>
  <sheetViews>
    <sheetView zoomScale="110" zoomScaleNormal="11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F8" sqref="F8"/>
    </sheetView>
  </sheetViews>
  <sheetFormatPr defaultRowHeight="12.75" x14ac:dyDescent="0.2"/>
  <cols>
    <col min="1" max="1" width="3" customWidth="1"/>
    <col min="2" max="2" width="48.5703125" bestFit="1" customWidth="1"/>
    <col min="3" max="3" width="19.42578125" customWidth="1"/>
    <col min="4" max="4" width="16.42578125" customWidth="1"/>
    <col min="5" max="6" width="17.5703125" customWidth="1"/>
    <col min="7" max="7" width="15.85546875" customWidth="1"/>
    <col min="8" max="8" width="18" customWidth="1"/>
    <col min="9" max="9" width="65.42578125" customWidth="1"/>
  </cols>
  <sheetData>
    <row r="2" spans="1:9" x14ac:dyDescent="0.2">
      <c r="B2" s="195" t="s">
        <v>210</v>
      </c>
    </row>
    <row r="4" spans="1:9" s="277" customFormat="1" ht="13.5" thickBot="1" x14ac:dyDescent="0.25">
      <c r="A4"/>
      <c r="B4" s="274" t="str">
        <f>IF($C$138="ROMANA","CAPEX (RON)","CAPEX (RON)")</f>
        <v>CAPEX (RON)</v>
      </c>
      <c r="C4" s="274" t="str">
        <f>IF($C$138="ROMANA","Final 2008","end 2008")</f>
        <v>end 2008</v>
      </c>
      <c r="D4" s="274" t="str">
        <f>IF($C$138="ROMANA","Final 2009","end 2009")</f>
        <v>end 2009</v>
      </c>
      <c r="E4" s="274" t="str">
        <f>IF($C$138="ROMANA","Final 2010","end 2010")</f>
        <v>end 2010</v>
      </c>
      <c r="F4" s="274" t="str">
        <f>IF($C$138="ROMANA","Final 2011","end 2011")</f>
        <v>end 2011</v>
      </c>
      <c r="G4" s="274" t="str">
        <f>IF($C$138="ROMANA","Final 2012","end 2012")</f>
        <v>end 2012</v>
      </c>
      <c r="H4" s="274" t="s">
        <v>72</v>
      </c>
      <c r="I4" s="274" t="s">
        <v>211</v>
      </c>
    </row>
    <row r="5" spans="1:9" x14ac:dyDescent="0.2">
      <c r="B5" s="165" t="s">
        <v>212</v>
      </c>
      <c r="C5" s="178">
        <v>4481834.9191659996</v>
      </c>
      <c r="D5" s="179">
        <v>2561854.16</v>
      </c>
      <c r="E5" s="179">
        <v>33621312.129999995</v>
      </c>
      <c r="F5" s="484">
        <v>56698533</v>
      </c>
      <c r="G5" s="484">
        <v>49563125</v>
      </c>
      <c r="H5" s="484">
        <v>4563987</v>
      </c>
      <c r="I5" s="183" t="s">
        <v>213</v>
      </c>
    </row>
    <row r="6" spans="1:9" x14ac:dyDescent="0.2">
      <c r="B6" s="165" t="s">
        <v>214</v>
      </c>
      <c r="C6" s="180">
        <v>179902.69</v>
      </c>
      <c r="D6" s="177">
        <v>549457.62</v>
      </c>
      <c r="E6" s="177">
        <v>700140.80000000016</v>
      </c>
      <c r="F6" s="485">
        <v>2656398</v>
      </c>
      <c r="G6" s="485">
        <v>1693458</v>
      </c>
      <c r="H6" s="485">
        <v>865321</v>
      </c>
      <c r="I6" s="184" t="s">
        <v>215</v>
      </c>
    </row>
    <row r="7" spans="1:9" x14ac:dyDescent="0.2">
      <c r="B7" s="165" t="s">
        <v>216</v>
      </c>
      <c r="C7" s="180">
        <v>0</v>
      </c>
      <c r="D7" s="177">
        <v>0</v>
      </c>
      <c r="E7" s="177">
        <v>489243.45999999996</v>
      </c>
      <c r="F7" s="485">
        <v>550670</v>
      </c>
      <c r="G7" s="485">
        <v>45231</v>
      </c>
      <c r="H7" s="177">
        <v>0</v>
      </c>
      <c r="I7" s="184" t="s">
        <v>217</v>
      </c>
    </row>
    <row r="8" spans="1:9" x14ac:dyDescent="0.2">
      <c r="B8" s="165" t="s">
        <v>218</v>
      </c>
      <c r="C8" s="180">
        <v>0</v>
      </c>
      <c r="D8" s="177">
        <v>0</v>
      </c>
      <c r="E8" s="177">
        <v>287471.63</v>
      </c>
      <c r="F8" s="485">
        <v>3058423</v>
      </c>
      <c r="G8" s="485">
        <v>704231</v>
      </c>
      <c r="H8" s="485">
        <v>19635</v>
      </c>
      <c r="I8" s="184" t="s">
        <v>219</v>
      </c>
    </row>
    <row r="9" spans="1:9" x14ac:dyDescent="0.2">
      <c r="B9" s="165" t="s">
        <v>220</v>
      </c>
      <c r="C9" s="180">
        <v>0</v>
      </c>
      <c r="D9" s="177">
        <v>0</v>
      </c>
      <c r="E9" s="177">
        <v>0</v>
      </c>
      <c r="F9" s="177">
        <v>0</v>
      </c>
      <c r="G9" s="485">
        <v>66983</v>
      </c>
      <c r="H9" s="485">
        <v>5632</v>
      </c>
      <c r="I9" s="184" t="s">
        <v>221</v>
      </c>
    </row>
    <row r="10" spans="1:9" x14ac:dyDescent="0.2">
      <c r="B10" s="165" t="s">
        <v>222</v>
      </c>
      <c r="C10" s="180">
        <v>1053923.390834</v>
      </c>
      <c r="D10" s="177">
        <v>413063.86576050898</v>
      </c>
      <c r="E10" s="177">
        <v>6418849.2700000061</v>
      </c>
      <c r="F10" s="485">
        <v>12639452</v>
      </c>
      <c r="G10" s="485">
        <v>2956321</v>
      </c>
      <c r="H10" s="485">
        <v>459632</v>
      </c>
      <c r="I10" s="184" t="s">
        <v>223</v>
      </c>
    </row>
    <row r="11" spans="1:9" x14ac:dyDescent="0.2">
      <c r="B11" s="165" t="s">
        <v>224</v>
      </c>
      <c r="C11" s="180">
        <v>0</v>
      </c>
      <c r="D11" s="177">
        <v>0</v>
      </c>
      <c r="E11" s="177">
        <v>0</v>
      </c>
      <c r="F11" s="177">
        <v>0</v>
      </c>
      <c r="G11" s="485">
        <v>86932</v>
      </c>
      <c r="H11" s="485">
        <v>55963</v>
      </c>
      <c r="I11" s="184" t="s">
        <v>225</v>
      </c>
    </row>
    <row r="12" spans="1:9" x14ac:dyDescent="0.2">
      <c r="B12" s="165" t="s">
        <v>226</v>
      </c>
      <c r="C12" s="180">
        <v>0</v>
      </c>
      <c r="D12" s="177">
        <v>0</v>
      </c>
      <c r="E12" s="177">
        <v>0</v>
      </c>
      <c r="F12" s="177">
        <v>0</v>
      </c>
      <c r="G12" s="485">
        <v>65321</v>
      </c>
      <c r="H12" s="177">
        <v>0</v>
      </c>
      <c r="I12" s="184" t="s">
        <v>227</v>
      </c>
    </row>
    <row r="13" spans="1:9" ht="13.5" thickBot="1" x14ac:dyDescent="0.25">
      <c r="B13" s="165" t="s">
        <v>228</v>
      </c>
      <c r="C13" s="181">
        <v>0</v>
      </c>
      <c r="D13" s="182">
        <v>0</v>
      </c>
      <c r="E13" s="182">
        <v>0</v>
      </c>
      <c r="F13" s="182">
        <v>0</v>
      </c>
      <c r="G13" s="182">
        <v>0</v>
      </c>
      <c r="H13" s="486">
        <v>323569</v>
      </c>
      <c r="I13" s="185" t="s">
        <v>229</v>
      </c>
    </row>
    <row r="15" spans="1:9" ht="15" x14ac:dyDescent="0.25">
      <c r="B15" t="s">
        <v>230</v>
      </c>
      <c r="C15" s="197" t="b">
        <v>1</v>
      </c>
      <c r="D15" s="197" t="b">
        <v>1</v>
      </c>
      <c r="E15" s="197" t="b">
        <v>1</v>
      </c>
      <c r="F15" s="197" t="b">
        <v>1</v>
      </c>
      <c r="G15" s="197" t="b">
        <v>1</v>
      </c>
      <c r="H15" s="197" t="b">
        <v>1</v>
      </c>
    </row>
    <row r="16" spans="1:9" x14ac:dyDescent="0.2">
      <c r="F16" s="196"/>
    </row>
    <row r="18" spans="3:6" x14ac:dyDescent="0.2">
      <c r="C18" s="196"/>
      <c r="E18" s="196"/>
      <c r="F18" s="196"/>
    </row>
    <row r="19" spans="3:6" x14ac:dyDescent="0.2">
      <c r="E19" s="196"/>
      <c r="F19" s="196"/>
    </row>
    <row r="21" spans="3:6" x14ac:dyDescent="0.2">
      <c r="E21" s="196"/>
      <c r="F21" s="196"/>
    </row>
    <row r="24" spans="3:6" x14ac:dyDescent="0.2">
      <c r="F24" s="196"/>
    </row>
    <row r="25" spans="3:6" x14ac:dyDescent="0.2">
      <c r="F25" s="196"/>
    </row>
    <row r="27" spans="3:6" x14ac:dyDescent="0.2">
      <c r="F27" s="196"/>
    </row>
    <row r="138" hidden="1" x14ac:dyDescent="0.2"/>
  </sheetData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A1:AK137"/>
  <sheetViews>
    <sheetView topLeftCell="A120" zoomScale="90" zoomScaleNormal="90" workbookViewId="0">
      <selection activeCell="AD125" sqref="AD125:AE136"/>
    </sheetView>
  </sheetViews>
  <sheetFormatPr defaultColWidth="9.140625" defaultRowHeight="15" x14ac:dyDescent="0.25"/>
  <cols>
    <col min="1" max="1" width="3.5703125" style="290" customWidth="1"/>
    <col min="2" max="2" width="32.140625" style="290" bestFit="1" customWidth="1"/>
    <col min="3" max="3" width="13.7109375" style="290" bestFit="1" customWidth="1"/>
    <col min="4" max="4" width="13.7109375" style="290" customWidth="1"/>
    <col min="5" max="5" width="14.28515625" style="290" customWidth="1"/>
    <col min="6" max="6" width="36.28515625" style="290" customWidth="1"/>
    <col min="7" max="7" width="13.85546875" style="290" bestFit="1" customWidth="1"/>
    <col min="8" max="8" width="9.85546875" style="290" customWidth="1"/>
    <col min="9" max="9" width="11.28515625" style="290" bestFit="1" customWidth="1"/>
    <col min="10" max="10" width="10.85546875" style="290" bestFit="1" customWidth="1"/>
    <col min="11" max="11" width="11.28515625" style="290" bestFit="1" customWidth="1"/>
    <col min="12" max="13" width="9.5703125" style="290" bestFit="1" customWidth="1"/>
    <col min="14" max="14" width="11.28515625" style="290" bestFit="1" customWidth="1"/>
    <col min="15" max="15" width="9.140625" style="290" bestFit="1" customWidth="1"/>
    <col min="16" max="16" width="8.5703125" style="290" bestFit="1" customWidth="1"/>
    <col min="17" max="17" width="9.85546875" style="290" customWidth="1"/>
    <col min="18" max="18" width="9.140625" style="290" bestFit="1" customWidth="1"/>
    <col min="19" max="19" width="9.85546875" style="290" customWidth="1"/>
    <col min="20" max="20" width="11.140625" style="290" customWidth="1"/>
    <col min="21" max="29" width="9.85546875" style="290" customWidth="1"/>
    <col min="30" max="30" width="10.85546875" style="290" bestFit="1" customWidth="1"/>
    <col min="31" max="31" width="13.7109375" style="290" customWidth="1"/>
    <col min="32" max="32" width="13.5703125" style="290" hidden="1" customWidth="1"/>
    <col min="33" max="33" width="10.140625" style="290" bestFit="1" customWidth="1"/>
    <col min="34" max="34" width="53.7109375" style="290" customWidth="1"/>
    <col min="35" max="16384" width="9.140625" style="290"/>
  </cols>
  <sheetData>
    <row r="1" spans="2:9" x14ac:dyDescent="0.25">
      <c r="B1" s="337" t="s">
        <v>231</v>
      </c>
      <c r="C1" s="338"/>
      <c r="D1" s="338"/>
      <c r="E1" s="584" t="s">
        <v>232</v>
      </c>
    </row>
    <row r="3" spans="2:9" x14ac:dyDescent="0.25">
      <c r="B3" s="291"/>
      <c r="C3" s="291" t="s">
        <v>83</v>
      </c>
      <c r="D3" s="291" t="s">
        <v>84</v>
      </c>
      <c r="E3" s="291" t="s">
        <v>191</v>
      </c>
    </row>
    <row r="4" spans="2:9" x14ac:dyDescent="0.25">
      <c r="B4" s="292" t="s">
        <v>233</v>
      </c>
      <c r="C4" s="487">
        <v>623551</v>
      </c>
      <c r="D4" s="487">
        <v>307004</v>
      </c>
      <c r="E4" s="488">
        <f>C4+D4</f>
        <v>930555</v>
      </c>
      <c r="F4" s="585" t="s">
        <v>234</v>
      </c>
      <c r="G4" s="293"/>
      <c r="H4" s="428"/>
      <c r="I4" s="428"/>
    </row>
    <row r="5" spans="2:9" x14ac:dyDescent="0.25">
      <c r="B5" s="292"/>
      <c r="C5" s="293"/>
      <c r="D5" s="293"/>
      <c r="E5" s="294"/>
    </row>
    <row r="6" spans="2:9" x14ac:dyDescent="0.25">
      <c r="B6" s="292"/>
      <c r="C6" s="293"/>
      <c r="D6" s="293"/>
      <c r="E6" s="294"/>
    </row>
    <row r="8" spans="2:9" x14ac:dyDescent="0.25">
      <c r="B8" s="337" t="s">
        <v>235</v>
      </c>
      <c r="C8" s="338"/>
      <c r="D8" s="338"/>
      <c r="E8" s="338"/>
    </row>
    <row r="10" spans="2:9" x14ac:dyDescent="0.25">
      <c r="B10" s="291"/>
      <c r="C10" s="291" t="s">
        <v>83</v>
      </c>
      <c r="D10" s="291" t="s">
        <v>84</v>
      </c>
      <c r="E10" s="291" t="s">
        <v>191</v>
      </c>
    </row>
    <row r="11" spans="2:9" x14ac:dyDescent="0.25">
      <c r="B11" s="292" t="s">
        <v>236</v>
      </c>
      <c r="C11" s="487">
        <v>2566300</v>
      </c>
      <c r="D11" s="487">
        <v>899307</v>
      </c>
      <c r="E11" s="294">
        <v>2581446</v>
      </c>
      <c r="F11" s="295"/>
    </row>
    <row r="12" spans="2:9" x14ac:dyDescent="0.25">
      <c r="B12" s="292" t="s">
        <v>237</v>
      </c>
      <c r="C12" s="487">
        <v>14300040</v>
      </c>
      <c r="D12" s="487">
        <v>2400500</v>
      </c>
      <c r="E12" s="294">
        <f>SUM(C12:D12)</f>
        <v>16700540</v>
      </c>
      <c r="H12" s="586"/>
      <c r="I12" s="586"/>
    </row>
    <row r="13" spans="2:9" x14ac:dyDescent="0.25">
      <c r="B13" s="292" t="s">
        <v>238</v>
      </c>
      <c r="C13" s="293">
        <v>0</v>
      </c>
      <c r="D13" s="487">
        <v>45300</v>
      </c>
      <c r="E13" s="294">
        <f>SUM(C13:D13)</f>
        <v>45300</v>
      </c>
      <c r="G13" s="586"/>
      <c r="H13" s="295"/>
    </row>
    <row r="14" spans="2:9" x14ac:dyDescent="0.25">
      <c r="B14" s="292" t="s">
        <v>239</v>
      </c>
      <c r="C14" s="293">
        <v>0</v>
      </c>
      <c r="D14" s="527">
        <v>165117</v>
      </c>
      <c r="E14" s="225">
        <f>SUM(C14:D14)</f>
        <v>165117</v>
      </c>
      <c r="F14" s="295"/>
      <c r="G14" s="587"/>
    </row>
    <row r="16" spans="2:9" x14ac:dyDescent="0.25">
      <c r="F16" s="296"/>
    </row>
    <row r="18" spans="2:32" x14ac:dyDescent="0.25">
      <c r="B18" s="337" t="s">
        <v>240</v>
      </c>
      <c r="C18" s="338"/>
      <c r="D18" s="338"/>
      <c r="E18" s="338"/>
      <c r="F18" s="297"/>
    </row>
    <row r="20" spans="2:32" x14ac:dyDescent="0.25">
      <c r="B20" s="291"/>
      <c r="C20" s="291" t="s">
        <v>83</v>
      </c>
      <c r="D20" s="291" t="s">
        <v>84</v>
      </c>
      <c r="E20" s="291" t="s">
        <v>191</v>
      </c>
    </row>
    <row r="21" spans="2:32" x14ac:dyDescent="0.25">
      <c r="B21" s="292" t="s">
        <v>236</v>
      </c>
      <c r="C21" s="487">
        <v>733500</v>
      </c>
      <c r="D21" s="487">
        <v>322500</v>
      </c>
      <c r="E21" s="294">
        <f>C21+D21</f>
        <v>1056000</v>
      </c>
    </row>
    <row r="22" spans="2:32" x14ac:dyDescent="0.25">
      <c r="B22" s="292" t="s">
        <v>237</v>
      </c>
      <c r="C22" s="487">
        <v>4060200</v>
      </c>
      <c r="D22" s="487">
        <v>470509</v>
      </c>
      <c r="E22" s="294">
        <f>C22+D22</f>
        <v>4530709</v>
      </c>
      <c r="F22" s="429"/>
      <c r="G22" s="298"/>
      <c r="H22" s="295"/>
    </row>
    <row r="23" spans="2:32" x14ac:dyDescent="0.25">
      <c r="B23" s="292" t="s">
        <v>241</v>
      </c>
      <c r="C23" s="487">
        <v>409300</v>
      </c>
      <c r="D23" s="487">
        <v>115004</v>
      </c>
      <c r="E23" s="294">
        <f>SUM(C23:D23)</f>
        <v>524304</v>
      </c>
    </row>
    <row r="24" spans="2:32" x14ac:dyDescent="0.25">
      <c r="B24" s="292" t="s">
        <v>239</v>
      </c>
      <c r="C24" s="293">
        <v>0</v>
      </c>
      <c r="D24" s="487">
        <v>73500</v>
      </c>
      <c r="E24" s="294">
        <f>SUM(C24:D24)</f>
        <v>73500</v>
      </c>
      <c r="F24" s="295"/>
      <c r="G24" s="586"/>
    </row>
    <row r="25" spans="2:32" x14ac:dyDescent="0.25">
      <c r="B25" s="292"/>
      <c r="C25" s="293"/>
      <c r="D25" s="293"/>
      <c r="E25" s="294"/>
      <c r="F25" s="295"/>
      <c r="G25" s="586"/>
    </row>
    <row r="26" spans="2:32" x14ac:dyDescent="0.25">
      <c r="B26" s="337" t="s">
        <v>242</v>
      </c>
      <c r="C26" s="338"/>
      <c r="D26" s="338"/>
      <c r="E26" s="338"/>
      <c r="AF26" s="299"/>
    </row>
    <row r="27" spans="2:32" s="428" customFormat="1" x14ac:dyDescent="0.25">
      <c r="B27" s="430"/>
      <c r="AF27" s="431"/>
    </row>
    <row r="28" spans="2:32" x14ac:dyDescent="0.25">
      <c r="B28" s="291"/>
      <c r="C28" s="291" t="s">
        <v>83</v>
      </c>
      <c r="D28" s="291" t="s">
        <v>84</v>
      </c>
      <c r="E28" s="291" t="s">
        <v>191</v>
      </c>
    </row>
    <row r="29" spans="2:32" ht="30" x14ac:dyDescent="0.25">
      <c r="B29" s="432" t="s">
        <v>243</v>
      </c>
      <c r="C29" s="433">
        <f>C12-C22-C12*0.25-C23*'4. Capacitati de retea'!$C$24</f>
        <v>6139642.9734090297</v>
      </c>
      <c r="D29" s="433">
        <f>D12-D22-D12*0.25-D23*'4. Capacitati de retea'!$C$24</f>
        <v>1182300.3786805084</v>
      </c>
      <c r="E29" s="433">
        <f>E12-E22-E12*0.25-E23*'4. Capacitati de retea'!$C$24</f>
        <v>7321943.3520895373</v>
      </c>
      <c r="AF29" s="299"/>
    </row>
    <row r="30" spans="2:32" x14ac:dyDescent="0.25">
      <c r="B30" s="585" t="s">
        <v>244</v>
      </c>
      <c r="C30" s="460">
        <f>Materiale!F4</f>
        <v>0.53474270891839426</v>
      </c>
      <c r="D30" s="434"/>
      <c r="E30" s="434"/>
      <c r="AF30" s="299"/>
    </row>
    <row r="31" spans="2:32" x14ac:dyDescent="0.25">
      <c r="B31" s="434" t="s">
        <v>245</v>
      </c>
      <c r="C31" s="461">
        <f>C29*$C$30</f>
        <v>3283129.3153925296</v>
      </c>
      <c r="D31" s="461">
        <f t="shared" ref="D31:E31" si="0">D29*$C$30</f>
        <v>632226.50725085835</v>
      </c>
      <c r="E31" s="461">
        <f t="shared" si="0"/>
        <v>3915355.8226433876</v>
      </c>
      <c r="AF31" s="299"/>
    </row>
    <row r="32" spans="2:32" x14ac:dyDescent="0.25">
      <c r="B32" s="434" t="s">
        <v>246</v>
      </c>
      <c r="C32" s="435">
        <f>C31/'Ipoteze de lucru'!$C$15</f>
        <v>742957.52781003166</v>
      </c>
      <c r="D32" s="435">
        <f>D31/'Ipoteze de lucru'!$C$15</f>
        <v>143070.04011107908</v>
      </c>
      <c r="E32" s="435">
        <f>E31/'Ipoteze de lucru'!$C$15</f>
        <v>886027.56792111066</v>
      </c>
      <c r="AF32" s="299"/>
    </row>
    <row r="33" spans="2:33" x14ac:dyDescent="0.25">
      <c r="B33" s="434"/>
      <c r="C33" s="435"/>
      <c r="D33" s="435"/>
      <c r="E33" s="435"/>
      <c r="AF33" s="299"/>
    </row>
    <row r="34" spans="2:33" ht="30" x14ac:dyDescent="0.25">
      <c r="B34" s="432" t="s">
        <v>247</v>
      </c>
      <c r="C34" s="435">
        <f>C11-C21-C11*0.25</f>
        <v>1191225</v>
      </c>
      <c r="D34" s="463">
        <v>0</v>
      </c>
      <c r="E34" s="463">
        <f>C34</f>
        <v>1191225</v>
      </c>
      <c r="AF34" s="299"/>
    </row>
    <row r="35" spans="2:33" x14ac:dyDescent="0.25">
      <c r="B35" s="585" t="s">
        <v>244</v>
      </c>
      <c r="C35" s="435">
        <f>Materiale!F3</f>
        <v>0.38178333550226556</v>
      </c>
      <c r="D35" s="435"/>
      <c r="E35" s="435"/>
      <c r="AF35" s="299"/>
    </row>
    <row r="36" spans="2:33" x14ac:dyDescent="0.25">
      <c r="B36" s="434" t="s">
        <v>248</v>
      </c>
      <c r="C36" s="435">
        <f>C34*$C$35</f>
        <v>454789.85383368627</v>
      </c>
      <c r="D36" s="435">
        <f t="shared" ref="D36:E36" si="1">D34*$C$35</f>
        <v>0</v>
      </c>
      <c r="E36" s="435">
        <f t="shared" si="1"/>
        <v>454789.85383368627</v>
      </c>
      <c r="AF36" s="299"/>
    </row>
    <row r="37" spans="2:33" x14ac:dyDescent="0.25">
      <c r="B37" s="434" t="s">
        <v>249</v>
      </c>
      <c r="C37" s="435">
        <f>C36/'Ipoteze de lucru'!$C$15</f>
        <v>102916.91645930897</v>
      </c>
      <c r="D37" s="435">
        <f>D36/'Ipoteze de lucru'!$C$15</f>
        <v>0</v>
      </c>
      <c r="E37" s="435">
        <f>E36/'Ipoteze de lucru'!$C$15</f>
        <v>102916.91645930897</v>
      </c>
      <c r="AF37" s="299"/>
    </row>
    <row r="38" spans="2:33" x14ac:dyDescent="0.25">
      <c r="B38" s="434"/>
      <c r="C38" s="435"/>
      <c r="D38" s="435"/>
      <c r="E38" s="435"/>
      <c r="AF38" s="299"/>
    </row>
    <row r="39" spans="2:33" x14ac:dyDescent="0.25">
      <c r="AF39" s="299"/>
    </row>
    <row r="40" spans="2:33" x14ac:dyDescent="0.25">
      <c r="B40" s="288" t="s">
        <v>250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</row>
    <row r="41" spans="2:33" ht="15.75" thickBot="1" x14ac:dyDescent="0.3"/>
    <row r="42" spans="2:33" x14ac:dyDescent="0.25">
      <c r="B42" s="350" t="s">
        <v>251</v>
      </c>
      <c r="C42" s="119">
        <v>2009</v>
      </c>
      <c r="D42" s="120">
        <v>2009</v>
      </c>
      <c r="E42" s="613" t="s">
        <v>252</v>
      </c>
      <c r="F42" s="119">
        <v>2010</v>
      </c>
      <c r="G42" s="120">
        <v>2010</v>
      </c>
      <c r="H42" s="613" t="s">
        <v>253</v>
      </c>
      <c r="I42" s="119">
        <v>2011</v>
      </c>
      <c r="J42" s="120">
        <v>2011</v>
      </c>
      <c r="K42" s="613" t="s">
        <v>254</v>
      </c>
      <c r="L42" s="119">
        <v>2012</v>
      </c>
      <c r="M42" s="120">
        <v>2012</v>
      </c>
      <c r="N42" s="613" t="s">
        <v>255</v>
      </c>
      <c r="O42" s="119">
        <v>2013</v>
      </c>
      <c r="P42" s="120">
        <v>2013</v>
      </c>
      <c r="Q42" s="613" t="s">
        <v>256</v>
      </c>
      <c r="R42" s="119">
        <v>2014</v>
      </c>
      <c r="S42" s="120">
        <v>2014</v>
      </c>
      <c r="T42" s="613" t="s">
        <v>257</v>
      </c>
      <c r="U42" s="119">
        <v>2015</v>
      </c>
      <c r="V42" s="120">
        <v>2015</v>
      </c>
      <c r="W42" s="613" t="s">
        <v>258</v>
      </c>
      <c r="X42" s="119">
        <v>2016</v>
      </c>
      <c r="Y42" s="120">
        <v>2016</v>
      </c>
      <c r="Z42" s="613" t="s">
        <v>259</v>
      </c>
      <c r="AA42" s="119">
        <v>2017</v>
      </c>
      <c r="AB42" s="120">
        <v>2017</v>
      </c>
      <c r="AC42" s="613" t="s">
        <v>260</v>
      </c>
      <c r="AD42" s="611" t="s">
        <v>261</v>
      </c>
      <c r="AE42" s="612"/>
      <c r="AF42" s="607" t="s">
        <v>262</v>
      </c>
    </row>
    <row r="43" spans="2:33" ht="15.75" thickBot="1" x14ac:dyDescent="0.3">
      <c r="B43"/>
      <c r="C43" s="121" t="s">
        <v>83</v>
      </c>
      <c r="D43" s="122" t="s">
        <v>84</v>
      </c>
      <c r="E43" s="614"/>
      <c r="F43" s="121" t="s">
        <v>83</v>
      </c>
      <c r="G43" s="122" t="s">
        <v>84</v>
      </c>
      <c r="H43" s="614"/>
      <c r="I43" s="121" t="s">
        <v>83</v>
      </c>
      <c r="J43" s="122" t="s">
        <v>84</v>
      </c>
      <c r="K43" s="614"/>
      <c r="L43" s="121" t="s">
        <v>83</v>
      </c>
      <c r="M43" s="122" t="s">
        <v>84</v>
      </c>
      <c r="N43" s="614"/>
      <c r="O43" s="121" t="s">
        <v>83</v>
      </c>
      <c r="P43" s="122" t="s">
        <v>84</v>
      </c>
      <c r="Q43" s="614"/>
      <c r="R43" s="121" t="s">
        <v>83</v>
      </c>
      <c r="S43" s="122" t="s">
        <v>84</v>
      </c>
      <c r="T43" s="614"/>
      <c r="U43" s="121" t="s">
        <v>83</v>
      </c>
      <c r="V43" s="122" t="s">
        <v>84</v>
      </c>
      <c r="W43" s="614"/>
      <c r="X43" s="121" t="s">
        <v>83</v>
      </c>
      <c r="Y43" s="122" t="s">
        <v>84</v>
      </c>
      <c r="Z43" s="614"/>
      <c r="AA43" s="121" t="s">
        <v>83</v>
      </c>
      <c r="AB43" s="122" t="s">
        <v>84</v>
      </c>
      <c r="AC43" s="614"/>
      <c r="AD43" s="123" t="s">
        <v>83</v>
      </c>
      <c r="AE43" s="124" t="s">
        <v>84</v>
      </c>
      <c r="AF43" s="608" t="s">
        <v>191</v>
      </c>
    </row>
    <row r="44" spans="2:33" ht="15.75" thickBot="1" x14ac:dyDescent="0.3">
      <c r="B44" s="351" t="s">
        <v>263</v>
      </c>
      <c r="C44" s="497">
        <f>C45+C57</f>
        <v>237</v>
      </c>
      <c r="D44" s="498">
        <f>D45+D57</f>
        <v>173</v>
      </c>
      <c r="E44" s="498">
        <f>E45+E57</f>
        <v>410</v>
      </c>
      <c r="F44" s="498">
        <f>F45+F57</f>
        <v>711</v>
      </c>
      <c r="G44" s="498">
        <f t="shared" ref="G44:AC44" si="2">G45+G57</f>
        <v>1093</v>
      </c>
      <c r="H44" s="498">
        <f t="shared" si="2"/>
        <v>1804</v>
      </c>
      <c r="I44" s="498">
        <f t="shared" si="2"/>
        <v>3283</v>
      </c>
      <c r="J44" s="498">
        <f t="shared" si="2"/>
        <v>8036</v>
      </c>
      <c r="K44" s="498">
        <f t="shared" si="2"/>
        <v>11319</v>
      </c>
      <c r="L44" s="498">
        <f t="shared" si="2"/>
        <v>1456</v>
      </c>
      <c r="M44" s="498">
        <f t="shared" si="2"/>
        <v>3955</v>
      </c>
      <c r="N44" s="498">
        <f t="shared" si="2"/>
        <v>5411</v>
      </c>
      <c r="O44" s="498">
        <f t="shared" si="2"/>
        <v>48</v>
      </c>
      <c r="P44" s="498">
        <f t="shared" si="2"/>
        <v>220</v>
      </c>
      <c r="Q44" s="498">
        <f t="shared" si="2"/>
        <v>268</v>
      </c>
      <c r="R44" s="498">
        <f t="shared" si="2"/>
        <v>17</v>
      </c>
      <c r="S44" s="498">
        <f t="shared" si="2"/>
        <v>113</v>
      </c>
      <c r="T44" s="498">
        <f t="shared" si="2"/>
        <v>130</v>
      </c>
      <c r="U44" s="498">
        <f t="shared" si="2"/>
        <v>57</v>
      </c>
      <c r="V44" s="498">
        <f t="shared" si="2"/>
        <v>235</v>
      </c>
      <c r="W44" s="498">
        <f t="shared" si="2"/>
        <v>292</v>
      </c>
      <c r="X44" s="498">
        <f t="shared" si="2"/>
        <v>40</v>
      </c>
      <c r="Y44" s="498">
        <f t="shared" si="2"/>
        <v>164</v>
      </c>
      <c r="Z44" s="498">
        <f t="shared" si="2"/>
        <v>204</v>
      </c>
      <c r="AA44" s="498">
        <f t="shared" si="2"/>
        <v>240</v>
      </c>
      <c r="AB44" s="498">
        <f t="shared" si="2"/>
        <v>2536</v>
      </c>
      <c r="AC44" s="498">
        <f t="shared" si="2"/>
        <v>2776</v>
      </c>
      <c r="AD44" s="352">
        <f>AD45+AD57+AD58</f>
        <v>6321</v>
      </c>
      <c r="AE44" s="352">
        <f t="shared" ref="AE44" si="3">AE45+AE57+AE58</f>
        <v>16923</v>
      </c>
      <c r="AF44" s="352">
        <f>AF45+AF57+AF58</f>
        <v>23244</v>
      </c>
      <c r="AG44" s="300"/>
    </row>
    <row r="45" spans="2:33" ht="15.75" thickBot="1" x14ac:dyDescent="0.3">
      <c r="B45" s="125" t="s">
        <v>264</v>
      </c>
      <c r="C45" s="499">
        <f>C46+C47+C48+C49+C50+C51+C52+C53</f>
        <v>237</v>
      </c>
      <c r="D45" s="500">
        <f>SUM(D46:D56)</f>
        <v>76</v>
      </c>
      <c r="E45" s="500">
        <f>SUM(E46:E56)</f>
        <v>313</v>
      </c>
      <c r="F45" s="500">
        <f>SUM(F46:F56)</f>
        <v>711</v>
      </c>
      <c r="G45" s="500">
        <f t="shared" ref="G45:AC45" si="4">SUM(G46:G56)</f>
        <v>204</v>
      </c>
      <c r="H45" s="500">
        <f t="shared" si="4"/>
        <v>915</v>
      </c>
      <c r="I45" s="500">
        <f t="shared" si="4"/>
        <v>3283</v>
      </c>
      <c r="J45" s="500">
        <f t="shared" si="4"/>
        <v>1137</v>
      </c>
      <c r="K45" s="500">
        <f t="shared" si="4"/>
        <v>4420</v>
      </c>
      <c r="L45" s="500">
        <f t="shared" si="4"/>
        <v>1452</v>
      </c>
      <c r="M45" s="500">
        <f t="shared" si="4"/>
        <v>447</v>
      </c>
      <c r="N45" s="500">
        <f t="shared" si="4"/>
        <v>1899</v>
      </c>
      <c r="O45" s="500">
        <f t="shared" si="4"/>
        <v>48</v>
      </c>
      <c r="P45" s="500">
        <f t="shared" si="4"/>
        <v>16</v>
      </c>
      <c r="Q45" s="500">
        <f t="shared" si="4"/>
        <v>64</v>
      </c>
      <c r="R45" s="500">
        <f t="shared" si="4"/>
        <v>17</v>
      </c>
      <c r="S45" s="500">
        <f t="shared" si="4"/>
        <v>20</v>
      </c>
      <c r="T45" s="500">
        <f t="shared" si="4"/>
        <v>37</v>
      </c>
      <c r="U45" s="500">
        <f t="shared" si="4"/>
        <v>57</v>
      </c>
      <c r="V45" s="500">
        <f t="shared" si="4"/>
        <v>29</v>
      </c>
      <c r="W45" s="500">
        <f t="shared" si="4"/>
        <v>86</v>
      </c>
      <c r="X45" s="500">
        <f t="shared" si="4"/>
        <v>40</v>
      </c>
      <c r="Y45" s="500">
        <f t="shared" si="4"/>
        <v>31</v>
      </c>
      <c r="Z45" s="500">
        <f t="shared" si="4"/>
        <v>71</v>
      </c>
      <c r="AA45" s="500">
        <f t="shared" si="4"/>
        <v>240</v>
      </c>
      <c r="AB45" s="500">
        <f t="shared" si="4"/>
        <v>83</v>
      </c>
      <c r="AC45" s="500">
        <f t="shared" si="4"/>
        <v>323</v>
      </c>
      <c r="AD45" s="376">
        <f>SUM(AD46:AD56)</f>
        <v>6085</v>
      </c>
      <c r="AE45" s="376">
        <f t="shared" ref="AE45" si="5">SUM(AE46:AE56)</f>
        <v>2043</v>
      </c>
      <c r="AF45" s="376">
        <f>AD45+AE45</f>
        <v>8128</v>
      </c>
      <c r="AG45" s="300"/>
    </row>
    <row r="46" spans="2:33" ht="15.75" thickTop="1" x14ac:dyDescent="0.25">
      <c r="B46" s="126" t="s">
        <v>265</v>
      </c>
      <c r="C46" s="490">
        <v>143</v>
      </c>
      <c r="D46" s="493">
        <v>34</v>
      </c>
      <c r="E46" s="495">
        <f>C46+D46</f>
        <v>177</v>
      </c>
      <c r="F46" s="490">
        <v>5</v>
      </c>
      <c r="G46" s="493">
        <v>4</v>
      </c>
      <c r="H46" s="495">
        <f>F46+G46</f>
        <v>9</v>
      </c>
      <c r="I46" s="490">
        <v>144</v>
      </c>
      <c r="J46" s="493">
        <v>33</v>
      </c>
      <c r="K46" s="495">
        <f>I46+J46</f>
        <v>177</v>
      </c>
      <c r="L46" s="490">
        <v>37</v>
      </c>
      <c r="M46" s="493">
        <v>33</v>
      </c>
      <c r="N46" s="495">
        <f>L46+M46</f>
        <v>70</v>
      </c>
      <c r="O46" s="136">
        <v>0</v>
      </c>
      <c r="P46" s="137">
        <v>0</v>
      </c>
      <c r="Q46" s="138">
        <v>0</v>
      </c>
      <c r="R46" s="490">
        <v>5</v>
      </c>
      <c r="S46" s="493">
        <v>2</v>
      </c>
      <c r="T46" s="495">
        <f>R46+S46</f>
        <v>7</v>
      </c>
      <c r="U46" s="136">
        <v>0</v>
      </c>
      <c r="V46" s="137">
        <v>0</v>
      </c>
      <c r="W46" s="138">
        <v>0</v>
      </c>
      <c r="X46" s="136">
        <v>0</v>
      </c>
      <c r="Y46" s="137">
        <v>0</v>
      </c>
      <c r="Z46" s="138">
        <v>0</v>
      </c>
      <c r="AA46" s="136">
        <v>0</v>
      </c>
      <c r="AB46" s="137">
        <v>0</v>
      </c>
      <c r="AC46" s="138">
        <v>0</v>
      </c>
      <c r="AD46" s="533">
        <f>C46+F46+I46+L46+O46+R46+U46+X46+AA46</f>
        <v>334</v>
      </c>
      <c r="AE46" s="534">
        <f>D46+G46+J46+M46+P46+S46+V46+Y46+AB46</f>
        <v>106</v>
      </c>
      <c r="AF46" s="535">
        <f>AD46+AE46</f>
        <v>440</v>
      </c>
      <c r="AG46" s="300"/>
    </row>
    <row r="47" spans="2:33" x14ac:dyDescent="0.25">
      <c r="B47" s="128" t="s">
        <v>266</v>
      </c>
      <c r="C47" s="528">
        <v>0</v>
      </c>
      <c r="D47" s="529">
        <v>0</v>
      </c>
      <c r="E47" s="495">
        <f t="shared" ref="E47:E57" si="6">C47+D47</f>
        <v>0</v>
      </c>
      <c r="F47" s="491">
        <v>212</v>
      </c>
      <c r="G47" s="494">
        <v>77</v>
      </c>
      <c r="H47" s="495">
        <f t="shared" ref="H47:H58" si="7">F47+G47</f>
        <v>289</v>
      </c>
      <c r="I47" s="491">
        <v>128</v>
      </c>
      <c r="J47" s="494">
        <v>208</v>
      </c>
      <c r="K47" s="495">
        <f t="shared" ref="K47:K58" si="8">I47+J47</f>
        <v>336</v>
      </c>
      <c r="L47" s="491">
        <v>217</v>
      </c>
      <c r="M47" s="494">
        <v>74</v>
      </c>
      <c r="N47" s="495">
        <f t="shared" ref="N47:N58" si="9">L47+M47</f>
        <v>291</v>
      </c>
      <c r="O47" s="491">
        <v>11</v>
      </c>
      <c r="P47" s="494">
        <v>5</v>
      </c>
      <c r="Q47" s="496">
        <f>O47+P47</f>
        <v>16</v>
      </c>
      <c r="R47" s="491">
        <v>9</v>
      </c>
      <c r="S47" s="494">
        <v>11</v>
      </c>
      <c r="T47" s="495">
        <f t="shared" ref="T47:T58" si="10">R47+S47</f>
        <v>20</v>
      </c>
      <c r="U47" s="491">
        <v>15</v>
      </c>
      <c r="V47" s="494">
        <v>4</v>
      </c>
      <c r="W47" s="496">
        <f>U47+V47</f>
        <v>19</v>
      </c>
      <c r="X47" s="491">
        <v>5</v>
      </c>
      <c r="Y47" s="494">
        <v>7</v>
      </c>
      <c r="Z47" s="496">
        <f>X47+Y47</f>
        <v>12</v>
      </c>
      <c r="AA47" s="491">
        <v>22</v>
      </c>
      <c r="AB47" s="494">
        <v>33</v>
      </c>
      <c r="AC47" s="496">
        <f>AA47+AB47</f>
        <v>55</v>
      </c>
      <c r="AD47" s="533">
        <f t="shared" ref="AD47:AD58" si="11">C47+F47+I47+L47+O47+R47+U47+X47+AA47</f>
        <v>619</v>
      </c>
      <c r="AE47" s="534">
        <f t="shared" ref="AE47:AE58" si="12">D47+G47+J47+M47+P47+S47+V47+Y47+AB47</f>
        <v>419</v>
      </c>
      <c r="AF47" s="588">
        <f t="shared" ref="AF47:AF58" si="13">AD47+AE47</f>
        <v>1038</v>
      </c>
      <c r="AG47" s="300"/>
    </row>
    <row r="48" spans="2:33" x14ac:dyDescent="0.25">
      <c r="B48" s="128" t="s">
        <v>267</v>
      </c>
      <c r="C48" s="491">
        <v>5</v>
      </c>
      <c r="D48" s="494">
        <v>1</v>
      </c>
      <c r="E48" s="495">
        <f t="shared" si="6"/>
        <v>6</v>
      </c>
      <c r="F48" s="491">
        <v>355</v>
      </c>
      <c r="G48" s="494">
        <v>48</v>
      </c>
      <c r="H48" s="495">
        <f t="shared" si="7"/>
        <v>403</v>
      </c>
      <c r="I48" s="491">
        <v>2566</v>
      </c>
      <c r="J48" s="494">
        <v>733</v>
      </c>
      <c r="K48" s="495">
        <f t="shared" si="8"/>
        <v>3299</v>
      </c>
      <c r="L48" s="491">
        <v>756</v>
      </c>
      <c r="M48" s="494">
        <v>209</v>
      </c>
      <c r="N48" s="495">
        <f t="shared" si="9"/>
        <v>965</v>
      </c>
      <c r="O48" s="491">
        <v>31</v>
      </c>
      <c r="P48" s="494">
        <v>4</v>
      </c>
      <c r="Q48" s="496">
        <f t="shared" ref="Q48:Q58" si="14">O48+P48</f>
        <v>35</v>
      </c>
      <c r="R48" s="491">
        <v>3</v>
      </c>
      <c r="S48" s="494">
        <v>7</v>
      </c>
      <c r="T48" s="495">
        <f t="shared" si="10"/>
        <v>10</v>
      </c>
      <c r="U48" s="491">
        <v>42</v>
      </c>
      <c r="V48" s="494">
        <v>25</v>
      </c>
      <c r="W48" s="496">
        <f t="shared" ref="W48:W58" si="15">U48+V48</f>
        <v>67</v>
      </c>
      <c r="X48" s="491">
        <v>31</v>
      </c>
      <c r="Y48" s="494">
        <v>24</v>
      </c>
      <c r="Z48" s="496">
        <f t="shared" ref="Z48:Z58" si="16">X48+Y48</f>
        <v>55</v>
      </c>
      <c r="AA48" s="491">
        <v>15</v>
      </c>
      <c r="AB48" s="494">
        <v>17</v>
      </c>
      <c r="AC48" s="496">
        <f t="shared" ref="AC48:AC58" si="17">AA48+AB48</f>
        <v>32</v>
      </c>
      <c r="AD48" s="533">
        <f t="shared" si="11"/>
        <v>3804</v>
      </c>
      <c r="AE48" s="534">
        <f t="shared" si="12"/>
        <v>1068</v>
      </c>
      <c r="AF48" s="588">
        <f t="shared" si="13"/>
        <v>4872</v>
      </c>
      <c r="AG48" s="300"/>
    </row>
    <row r="49" spans="2:33" x14ac:dyDescent="0.25">
      <c r="B49" s="128" t="s">
        <v>268</v>
      </c>
      <c r="C49" s="491">
        <v>2</v>
      </c>
      <c r="D49" s="529">
        <v>0</v>
      </c>
      <c r="E49" s="495">
        <f t="shared" si="6"/>
        <v>2</v>
      </c>
      <c r="F49" s="491">
        <v>86</v>
      </c>
      <c r="G49" s="494">
        <v>67</v>
      </c>
      <c r="H49" s="495">
        <f t="shared" si="7"/>
        <v>153</v>
      </c>
      <c r="I49" s="491">
        <v>422</v>
      </c>
      <c r="J49" s="494">
        <v>149</v>
      </c>
      <c r="K49" s="495">
        <f t="shared" si="8"/>
        <v>571</v>
      </c>
      <c r="L49" s="491">
        <v>345</v>
      </c>
      <c r="M49" s="494">
        <v>75</v>
      </c>
      <c r="N49" s="495">
        <f t="shared" si="9"/>
        <v>420</v>
      </c>
      <c r="O49" s="491">
        <v>6</v>
      </c>
      <c r="P49" s="494">
        <v>7</v>
      </c>
      <c r="Q49" s="496">
        <f t="shared" si="14"/>
        <v>13</v>
      </c>
      <c r="R49" s="139">
        <v>0</v>
      </c>
      <c r="S49" s="140">
        <v>0</v>
      </c>
      <c r="T49" s="514">
        <f t="shared" si="10"/>
        <v>0</v>
      </c>
      <c r="U49" s="139">
        <v>0</v>
      </c>
      <c r="V49" s="140">
        <v>0</v>
      </c>
      <c r="W49" s="496">
        <f t="shared" si="15"/>
        <v>0</v>
      </c>
      <c r="X49" s="491">
        <v>4</v>
      </c>
      <c r="Y49" s="529">
        <v>0</v>
      </c>
      <c r="Z49" s="496">
        <f t="shared" si="16"/>
        <v>4</v>
      </c>
      <c r="AA49" s="491">
        <v>203</v>
      </c>
      <c r="AB49" s="494">
        <v>33</v>
      </c>
      <c r="AC49" s="496">
        <f t="shared" si="17"/>
        <v>236</v>
      </c>
      <c r="AD49" s="533">
        <f t="shared" si="11"/>
        <v>1068</v>
      </c>
      <c r="AE49" s="534">
        <f t="shared" si="12"/>
        <v>331</v>
      </c>
      <c r="AF49" s="588">
        <f t="shared" si="13"/>
        <v>1399</v>
      </c>
      <c r="AG49" s="300"/>
    </row>
    <row r="50" spans="2:33" x14ac:dyDescent="0.25">
      <c r="B50" s="128" t="s">
        <v>269</v>
      </c>
      <c r="C50" s="491">
        <v>4</v>
      </c>
      <c r="D50" s="494">
        <v>4</v>
      </c>
      <c r="E50" s="495">
        <f t="shared" si="6"/>
        <v>8</v>
      </c>
      <c r="F50" s="491">
        <v>16</v>
      </c>
      <c r="G50" s="494">
        <v>7</v>
      </c>
      <c r="H50" s="495">
        <f t="shared" si="7"/>
        <v>23</v>
      </c>
      <c r="I50" s="491">
        <v>8</v>
      </c>
      <c r="J50" s="494">
        <v>5</v>
      </c>
      <c r="K50" s="495">
        <f t="shared" si="8"/>
        <v>13</v>
      </c>
      <c r="L50" s="528">
        <v>0</v>
      </c>
      <c r="M50" s="529">
        <v>0</v>
      </c>
      <c r="N50" s="514">
        <f t="shared" si="9"/>
        <v>0</v>
      </c>
      <c r="O50" s="139">
        <v>0</v>
      </c>
      <c r="P50" s="140">
        <v>0</v>
      </c>
      <c r="Q50" s="536">
        <f t="shared" si="14"/>
        <v>0</v>
      </c>
      <c r="R50" s="139">
        <v>0</v>
      </c>
      <c r="S50" s="140">
        <v>0</v>
      </c>
      <c r="T50" s="514">
        <f t="shared" si="10"/>
        <v>0</v>
      </c>
      <c r="U50" s="139">
        <v>0</v>
      </c>
      <c r="V50" s="140">
        <v>0</v>
      </c>
      <c r="W50" s="496">
        <f t="shared" si="15"/>
        <v>0</v>
      </c>
      <c r="X50" s="139">
        <v>0</v>
      </c>
      <c r="Y50" s="140">
        <v>0</v>
      </c>
      <c r="Z50" s="536">
        <f t="shared" si="16"/>
        <v>0</v>
      </c>
      <c r="AA50" s="139">
        <v>0</v>
      </c>
      <c r="AB50" s="140">
        <v>0</v>
      </c>
      <c r="AC50" s="536">
        <f t="shared" si="17"/>
        <v>0</v>
      </c>
      <c r="AD50" s="533">
        <f t="shared" si="11"/>
        <v>28</v>
      </c>
      <c r="AE50" s="534">
        <f t="shared" si="12"/>
        <v>16</v>
      </c>
      <c r="AF50" s="588">
        <f t="shared" si="13"/>
        <v>44</v>
      </c>
      <c r="AG50" s="300"/>
    </row>
    <row r="51" spans="2:33" x14ac:dyDescent="0.25">
      <c r="B51" s="353" t="s">
        <v>270</v>
      </c>
      <c r="C51" s="491">
        <v>22</v>
      </c>
      <c r="D51" s="494">
        <v>0</v>
      </c>
      <c r="E51" s="495">
        <f t="shared" si="6"/>
        <v>22</v>
      </c>
      <c r="F51" s="491">
        <v>2</v>
      </c>
      <c r="G51" s="494">
        <v>0</v>
      </c>
      <c r="H51" s="495">
        <f t="shared" si="7"/>
        <v>2</v>
      </c>
      <c r="I51" s="528">
        <v>0</v>
      </c>
      <c r="J51" s="529">
        <v>0</v>
      </c>
      <c r="K51" s="495">
        <f t="shared" si="8"/>
        <v>0</v>
      </c>
      <c r="L51" s="528">
        <v>0</v>
      </c>
      <c r="M51" s="529">
        <v>0</v>
      </c>
      <c r="N51" s="514">
        <f t="shared" si="9"/>
        <v>0</v>
      </c>
      <c r="O51" s="139">
        <v>0</v>
      </c>
      <c r="P51" s="140">
        <v>0</v>
      </c>
      <c r="Q51" s="536">
        <f t="shared" si="14"/>
        <v>0</v>
      </c>
      <c r="R51" s="139">
        <v>0</v>
      </c>
      <c r="S51" s="140">
        <v>0</v>
      </c>
      <c r="T51" s="514">
        <f t="shared" si="10"/>
        <v>0</v>
      </c>
      <c r="U51" s="139">
        <v>0</v>
      </c>
      <c r="V51" s="140">
        <v>0</v>
      </c>
      <c r="W51" s="496">
        <f t="shared" si="15"/>
        <v>0</v>
      </c>
      <c r="X51" s="139">
        <v>0</v>
      </c>
      <c r="Y51" s="140">
        <v>0</v>
      </c>
      <c r="Z51" s="536">
        <f t="shared" si="16"/>
        <v>0</v>
      </c>
      <c r="AA51" s="139">
        <v>0</v>
      </c>
      <c r="AB51" s="140">
        <v>0</v>
      </c>
      <c r="AC51" s="536">
        <f t="shared" si="17"/>
        <v>0</v>
      </c>
      <c r="AD51" s="533">
        <f t="shared" si="11"/>
        <v>24</v>
      </c>
      <c r="AE51" s="534">
        <f t="shared" si="12"/>
        <v>0</v>
      </c>
      <c r="AF51" s="588">
        <f t="shared" si="13"/>
        <v>24</v>
      </c>
      <c r="AG51" s="300"/>
    </row>
    <row r="52" spans="2:33" x14ac:dyDescent="0.25">
      <c r="B52" s="353" t="s">
        <v>271</v>
      </c>
      <c r="C52" s="491">
        <v>42</v>
      </c>
      <c r="D52" s="494">
        <v>11</v>
      </c>
      <c r="E52" s="495">
        <f t="shared" si="6"/>
        <v>53</v>
      </c>
      <c r="F52" s="491">
        <v>35</v>
      </c>
      <c r="G52" s="494">
        <v>1</v>
      </c>
      <c r="H52" s="495">
        <f t="shared" si="7"/>
        <v>36</v>
      </c>
      <c r="I52" s="491">
        <v>15</v>
      </c>
      <c r="J52" s="494">
        <v>9</v>
      </c>
      <c r="K52" s="495">
        <f t="shared" si="8"/>
        <v>24</v>
      </c>
      <c r="L52" s="491">
        <v>9</v>
      </c>
      <c r="M52" s="494">
        <v>4</v>
      </c>
      <c r="N52" s="495">
        <f t="shared" si="9"/>
        <v>13</v>
      </c>
      <c r="O52" s="139">
        <v>0</v>
      </c>
      <c r="P52" s="140">
        <v>0</v>
      </c>
      <c r="Q52" s="536">
        <f t="shared" si="14"/>
        <v>0</v>
      </c>
      <c r="R52" s="139">
        <v>0</v>
      </c>
      <c r="S52" s="140">
        <v>0</v>
      </c>
      <c r="T52" s="514">
        <f t="shared" si="10"/>
        <v>0</v>
      </c>
      <c r="U52" s="139">
        <v>0</v>
      </c>
      <c r="V52" s="140">
        <v>0</v>
      </c>
      <c r="W52" s="496">
        <f t="shared" si="15"/>
        <v>0</v>
      </c>
      <c r="X52" s="139">
        <v>0</v>
      </c>
      <c r="Y52" s="140">
        <v>0</v>
      </c>
      <c r="Z52" s="536">
        <f t="shared" si="16"/>
        <v>0</v>
      </c>
      <c r="AA52" s="139">
        <v>0</v>
      </c>
      <c r="AB52" s="140">
        <v>0</v>
      </c>
      <c r="AC52" s="536">
        <f t="shared" si="17"/>
        <v>0</v>
      </c>
      <c r="AD52" s="533">
        <f t="shared" si="11"/>
        <v>101</v>
      </c>
      <c r="AE52" s="534">
        <f t="shared" si="12"/>
        <v>25</v>
      </c>
      <c r="AF52" s="588">
        <f t="shared" si="13"/>
        <v>126</v>
      </c>
      <c r="AG52" s="300"/>
    </row>
    <row r="53" spans="2:33" x14ac:dyDescent="0.25">
      <c r="B53" s="353" t="s">
        <v>272</v>
      </c>
      <c r="C53" s="491">
        <v>19</v>
      </c>
      <c r="D53" s="494">
        <v>26</v>
      </c>
      <c r="E53" s="495">
        <f t="shared" si="6"/>
        <v>45</v>
      </c>
      <c r="F53" s="528">
        <v>0</v>
      </c>
      <c r="G53" s="529">
        <v>0</v>
      </c>
      <c r="H53" s="514">
        <f t="shared" si="7"/>
        <v>0</v>
      </c>
      <c r="I53" s="528">
        <v>0</v>
      </c>
      <c r="J53" s="529">
        <v>0</v>
      </c>
      <c r="K53" s="514">
        <f t="shared" si="8"/>
        <v>0</v>
      </c>
      <c r="L53" s="528">
        <v>0</v>
      </c>
      <c r="M53" s="529">
        <v>0</v>
      </c>
      <c r="N53" s="514">
        <f t="shared" si="9"/>
        <v>0</v>
      </c>
      <c r="O53" s="139">
        <v>0</v>
      </c>
      <c r="P53" s="140">
        <v>0</v>
      </c>
      <c r="Q53" s="536">
        <f t="shared" si="14"/>
        <v>0</v>
      </c>
      <c r="R53" s="139">
        <v>0</v>
      </c>
      <c r="S53" s="140">
        <v>0</v>
      </c>
      <c r="T53" s="514">
        <f t="shared" si="10"/>
        <v>0</v>
      </c>
      <c r="U53" s="139">
        <v>0</v>
      </c>
      <c r="V53" s="140">
        <v>0</v>
      </c>
      <c r="W53" s="496">
        <f t="shared" si="15"/>
        <v>0</v>
      </c>
      <c r="X53" s="139">
        <v>0</v>
      </c>
      <c r="Y53" s="140">
        <v>0</v>
      </c>
      <c r="Z53" s="536">
        <f t="shared" si="16"/>
        <v>0</v>
      </c>
      <c r="AA53" s="139">
        <v>0</v>
      </c>
      <c r="AB53" s="140">
        <v>0</v>
      </c>
      <c r="AC53" s="536">
        <f t="shared" si="17"/>
        <v>0</v>
      </c>
      <c r="AD53" s="533">
        <f t="shared" si="11"/>
        <v>19</v>
      </c>
      <c r="AE53" s="534">
        <f t="shared" si="12"/>
        <v>26</v>
      </c>
      <c r="AF53" s="588">
        <f t="shared" si="13"/>
        <v>45</v>
      </c>
      <c r="AG53" s="300"/>
    </row>
    <row r="54" spans="2:33" x14ac:dyDescent="0.25">
      <c r="B54" s="353" t="s">
        <v>273</v>
      </c>
      <c r="C54" s="528">
        <v>0</v>
      </c>
      <c r="D54" s="529">
        <v>0</v>
      </c>
      <c r="E54" s="514">
        <f t="shared" si="6"/>
        <v>0</v>
      </c>
      <c r="F54" s="528">
        <v>0</v>
      </c>
      <c r="G54" s="529">
        <v>0</v>
      </c>
      <c r="H54" s="514">
        <f t="shared" si="7"/>
        <v>0</v>
      </c>
      <c r="I54" s="528">
        <v>0</v>
      </c>
      <c r="J54" s="529">
        <v>0</v>
      </c>
      <c r="K54" s="514">
        <f t="shared" si="8"/>
        <v>0</v>
      </c>
      <c r="L54" s="528">
        <v>0</v>
      </c>
      <c r="M54" s="529">
        <v>0</v>
      </c>
      <c r="N54" s="514">
        <f t="shared" si="9"/>
        <v>0</v>
      </c>
      <c r="O54" s="139">
        <v>0</v>
      </c>
      <c r="P54" s="140">
        <v>0</v>
      </c>
      <c r="Q54" s="536">
        <f t="shared" si="14"/>
        <v>0</v>
      </c>
      <c r="R54" s="139">
        <v>0</v>
      </c>
      <c r="S54" s="140">
        <v>0</v>
      </c>
      <c r="T54" s="514">
        <f t="shared" si="10"/>
        <v>0</v>
      </c>
      <c r="U54" s="139">
        <v>0</v>
      </c>
      <c r="V54" s="140">
        <v>0</v>
      </c>
      <c r="W54" s="496">
        <f t="shared" si="15"/>
        <v>0</v>
      </c>
      <c r="X54" s="139">
        <v>0</v>
      </c>
      <c r="Y54" s="140">
        <v>0</v>
      </c>
      <c r="Z54" s="536">
        <f t="shared" si="16"/>
        <v>0</v>
      </c>
      <c r="AA54" s="139">
        <v>0</v>
      </c>
      <c r="AB54" s="140">
        <v>0</v>
      </c>
      <c r="AC54" s="536">
        <f t="shared" si="17"/>
        <v>0</v>
      </c>
      <c r="AD54" s="533">
        <f t="shared" si="11"/>
        <v>0</v>
      </c>
      <c r="AE54" s="534">
        <f t="shared" si="12"/>
        <v>0</v>
      </c>
      <c r="AF54" s="588">
        <f t="shared" si="13"/>
        <v>0</v>
      </c>
      <c r="AG54" s="300"/>
    </row>
    <row r="55" spans="2:33" x14ac:dyDescent="0.25">
      <c r="B55" s="353" t="s">
        <v>274</v>
      </c>
      <c r="C55" s="528">
        <v>0</v>
      </c>
      <c r="D55" s="529">
        <v>0</v>
      </c>
      <c r="E55" s="514">
        <f t="shared" si="6"/>
        <v>0</v>
      </c>
      <c r="F55" s="528">
        <v>0</v>
      </c>
      <c r="G55" s="529">
        <v>0</v>
      </c>
      <c r="H55" s="514">
        <f t="shared" si="7"/>
        <v>0</v>
      </c>
      <c r="I55" s="528">
        <v>0</v>
      </c>
      <c r="J55" s="529">
        <v>0</v>
      </c>
      <c r="K55" s="514">
        <f t="shared" si="8"/>
        <v>0</v>
      </c>
      <c r="L55" s="528">
        <v>0</v>
      </c>
      <c r="M55" s="529">
        <v>0</v>
      </c>
      <c r="N55" s="514">
        <f t="shared" si="9"/>
        <v>0</v>
      </c>
      <c r="O55" s="139">
        <v>0</v>
      </c>
      <c r="P55" s="140">
        <v>0</v>
      </c>
      <c r="Q55" s="536">
        <f t="shared" si="14"/>
        <v>0</v>
      </c>
      <c r="R55" s="139">
        <v>0</v>
      </c>
      <c r="S55" s="140">
        <v>0</v>
      </c>
      <c r="T55" s="514">
        <f t="shared" si="10"/>
        <v>0</v>
      </c>
      <c r="U55" s="139">
        <v>0</v>
      </c>
      <c r="V55" s="140">
        <v>0</v>
      </c>
      <c r="W55" s="496">
        <f t="shared" si="15"/>
        <v>0</v>
      </c>
      <c r="X55" s="139">
        <v>0</v>
      </c>
      <c r="Y55" s="140">
        <v>0</v>
      </c>
      <c r="Z55" s="536">
        <f t="shared" si="16"/>
        <v>0</v>
      </c>
      <c r="AA55" s="139">
        <v>0</v>
      </c>
      <c r="AB55" s="140">
        <v>0</v>
      </c>
      <c r="AC55" s="536">
        <f t="shared" si="17"/>
        <v>0</v>
      </c>
      <c r="AD55" s="533">
        <f t="shared" si="11"/>
        <v>0</v>
      </c>
      <c r="AE55" s="534">
        <f t="shared" si="12"/>
        <v>0</v>
      </c>
      <c r="AF55" s="588">
        <f t="shared" si="13"/>
        <v>0</v>
      </c>
      <c r="AG55" s="300"/>
    </row>
    <row r="56" spans="2:33" ht="15.75" thickBot="1" x14ac:dyDescent="0.3">
      <c r="B56" s="354" t="s">
        <v>275</v>
      </c>
      <c r="C56" s="530">
        <v>0</v>
      </c>
      <c r="D56" s="531">
        <v>0</v>
      </c>
      <c r="E56" s="514">
        <f t="shared" si="6"/>
        <v>0</v>
      </c>
      <c r="F56" s="530">
        <v>0</v>
      </c>
      <c r="G56" s="531">
        <v>0</v>
      </c>
      <c r="H56" s="514">
        <f t="shared" si="7"/>
        <v>0</v>
      </c>
      <c r="I56" s="530">
        <v>0</v>
      </c>
      <c r="J56" s="531">
        <v>0</v>
      </c>
      <c r="K56" s="514">
        <f t="shared" si="8"/>
        <v>0</v>
      </c>
      <c r="L56" s="502">
        <v>88</v>
      </c>
      <c r="M56" s="504">
        <v>52</v>
      </c>
      <c r="N56" s="495">
        <f t="shared" si="9"/>
        <v>140</v>
      </c>
      <c r="O56" s="141">
        <v>0</v>
      </c>
      <c r="P56" s="142">
        <v>0</v>
      </c>
      <c r="Q56" s="536">
        <f t="shared" si="14"/>
        <v>0</v>
      </c>
      <c r="R56" s="141">
        <v>0</v>
      </c>
      <c r="S56" s="142">
        <v>0</v>
      </c>
      <c r="T56" s="514">
        <f t="shared" si="10"/>
        <v>0</v>
      </c>
      <c r="U56" s="141">
        <v>0</v>
      </c>
      <c r="V56" s="142">
        <v>0</v>
      </c>
      <c r="W56" s="496">
        <f t="shared" si="15"/>
        <v>0</v>
      </c>
      <c r="X56" s="141">
        <v>0</v>
      </c>
      <c r="Y56" s="142">
        <v>0</v>
      </c>
      <c r="Z56" s="536">
        <f t="shared" si="16"/>
        <v>0</v>
      </c>
      <c r="AA56" s="141">
        <v>0</v>
      </c>
      <c r="AB56" s="142">
        <v>0</v>
      </c>
      <c r="AC56" s="536">
        <f t="shared" si="17"/>
        <v>0</v>
      </c>
      <c r="AD56" s="533">
        <f t="shared" si="11"/>
        <v>88</v>
      </c>
      <c r="AE56" s="534">
        <f t="shared" si="12"/>
        <v>52</v>
      </c>
      <c r="AF56" s="588">
        <f t="shared" si="13"/>
        <v>140</v>
      </c>
      <c r="AG56" s="300"/>
    </row>
    <row r="57" spans="2:33" ht="16.5" thickTop="1" thickBot="1" x14ac:dyDescent="0.3">
      <c r="B57" s="125" t="s">
        <v>276</v>
      </c>
      <c r="C57" s="532">
        <v>0</v>
      </c>
      <c r="D57" s="492">
        <v>97</v>
      </c>
      <c r="E57" s="495">
        <f t="shared" si="6"/>
        <v>97</v>
      </c>
      <c r="F57" s="532">
        <v>0</v>
      </c>
      <c r="G57" s="492">
        <v>889</v>
      </c>
      <c r="H57" s="495">
        <f t="shared" si="7"/>
        <v>889</v>
      </c>
      <c r="I57" s="532">
        <v>0</v>
      </c>
      <c r="J57" s="492">
        <v>6899</v>
      </c>
      <c r="K57" s="495">
        <f t="shared" si="8"/>
        <v>6899</v>
      </c>
      <c r="L57" s="489">
        <v>4</v>
      </c>
      <c r="M57" s="492">
        <v>3508</v>
      </c>
      <c r="N57" s="495">
        <f t="shared" si="9"/>
        <v>3512</v>
      </c>
      <c r="O57" s="135">
        <v>0</v>
      </c>
      <c r="P57" s="492">
        <v>204</v>
      </c>
      <c r="Q57" s="496">
        <f t="shared" si="14"/>
        <v>204</v>
      </c>
      <c r="R57" s="135">
        <v>0</v>
      </c>
      <c r="S57" s="492">
        <v>93</v>
      </c>
      <c r="T57" s="495">
        <f t="shared" si="10"/>
        <v>93</v>
      </c>
      <c r="U57" s="135">
        <v>0</v>
      </c>
      <c r="V57" s="492">
        <v>206</v>
      </c>
      <c r="W57" s="496">
        <f t="shared" si="15"/>
        <v>206</v>
      </c>
      <c r="X57" s="135">
        <v>0</v>
      </c>
      <c r="Y57" s="492">
        <v>133</v>
      </c>
      <c r="Z57" s="496">
        <f t="shared" si="16"/>
        <v>133</v>
      </c>
      <c r="AA57" s="532">
        <v>0</v>
      </c>
      <c r="AB57" s="492">
        <v>2453</v>
      </c>
      <c r="AC57" s="496">
        <f t="shared" si="17"/>
        <v>2453</v>
      </c>
      <c r="AD57" s="533">
        <f t="shared" si="11"/>
        <v>4</v>
      </c>
      <c r="AE57" s="537">
        <f t="shared" si="12"/>
        <v>14482</v>
      </c>
      <c r="AF57" s="535">
        <f t="shared" si="13"/>
        <v>14486</v>
      </c>
      <c r="AG57" s="300"/>
    </row>
    <row r="58" spans="2:33" ht="16.5" thickTop="1" thickBot="1" x14ac:dyDescent="0.3">
      <c r="B58" s="355" t="s">
        <v>277</v>
      </c>
      <c r="C58" s="356">
        <v>0</v>
      </c>
      <c r="D58" s="357">
        <v>0</v>
      </c>
      <c r="E58" s="358">
        <v>0</v>
      </c>
      <c r="F58" s="356">
        <v>0</v>
      </c>
      <c r="G58" s="501">
        <v>4</v>
      </c>
      <c r="H58" s="495">
        <f t="shared" si="7"/>
        <v>4</v>
      </c>
      <c r="I58" s="356">
        <v>0</v>
      </c>
      <c r="J58" s="501">
        <v>2</v>
      </c>
      <c r="K58" s="495">
        <f t="shared" si="8"/>
        <v>2</v>
      </c>
      <c r="L58" s="503">
        <v>230</v>
      </c>
      <c r="M58" s="501">
        <v>211</v>
      </c>
      <c r="N58" s="495">
        <f t="shared" si="9"/>
        <v>441</v>
      </c>
      <c r="O58" s="356">
        <v>0</v>
      </c>
      <c r="P58" s="501">
        <v>55</v>
      </c>
      <c r="Q58" s="496">
        <f t="shared" si="14"/>
        <v>55</v>
      </c>
      <c r="R58" s="356">
        <v>0</v>
      </c>
      <c r="S58" s="501">
        <v>55</v>
      </c>
      <c r="T58" s="495">
        <f t="shared" si="10"/>
        <v>55</v>
      </c>
      <c r="U58" s="356">
        <v>0</v>
      </c>
      <c r="V58" s="501">
        <v>22</v>
      </c>
      <c r="W58" s="496">
        <f t="shared" si="15"/>
        <v>22</v>
      </c>
      <c r="X58" s="356">
        <v>0</v>
      </c>
      <c r="Y58" s="501">
        <v>41</v>
      </c>
      <c r="Z58" s="496">
        <f t="shared" si="16"/>
        <v>41</v>
      </c>
      <c r="AA58" s="503">
        <v>2</v>
      </c>
      <c r="AB58" s="501">
        <v>8</v>
      </c>
      <c r="AC58" s="496">
        <f t="shared" si="17"/>
        <v>10</v>
      </c>
      <c r="AD58" s="533">
        <f t="shared" si="11"/>
        <v>232</v>
      </c>
      <c r="AE58" s="537">
        <f t="shared" si="12"/>
        <v>398</v>
      </c>
      <c r="AF58" s="535">
        <f t="shared" si="13"/>
        <v>630</v>
      </c>
      <c r="AG58" s="300"/>
    </row>
    <row r="59" spans="2:33" ht="15.75" thickBot="1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2:33" x14ac:dyDescent="0.25">
      <c r="B60" s="118" t="s">
        <v>278</v>
      </c>
      <c r="C60" s="359">
        <v>2009</v>
      </c>
      <c r="D60" s="360">
        <v>2009</v>
      </c>
      <c r="E60" s="609" t="s">
        <v>252</v>
      </c>
      <c r="F60" s="359">
        <v>2010</v>
      </c>
      <c r="G60" s="360">
        <v>2010</v>
      </c>
      <c r="H60" s="609" t="s">
        <v>253</v>
      </c>
      <c r="I60" s="359">
        <v>2011</v>
      </c>
      <c r="J60" s="360">
        <v>2011</v>
      </c>
      <c r="K60" s="609" t="s">
        <v>254</v>
      </c>
      <c r="L60" s="359">
        <v>2012</v>
      </c>
      <c r="M60" s="360">
        <v>2012</v>
      </c>
      <c r="N60" s="609" t="s">
        <v>255</v>
      </c>
      <c r="O60" s="359">
        <v>2013</v>
      </c>
      <c r="P60" s="360">
        <v>2013</v>
      </c>
      <c r="Q60" s="609" t="s">
        <v>256</v>
      </c>
      <c r="R60" s="359">
        <v>2014</v>
      </c>
      <c r="S60" s="360">
        <v>2014</v>
      </c>
      <c r="T60" s="609" t="s">
        <v>257</v>
      </c>
      <c r="U60" s="359">
        <v>2015</v>
      </c>
      <c r="V60" s="360">
        <v>2015</v>
      </c>
      <c r="W60" s="609" t="s">
        <v>258</v>
      </c>
      <c r="X60" s="359">
        <v>2016</v>
      </c>
      <c r="Y60" s="360">
        <v>2016</v>
      </c>
      <c r="Z60" s="609" t="s">
        <v>259</v>
      </c>
      <c r="AA60" s="359">
        <v>2017</v>
      </c>
      <c r="AB60" s="360">
        <v>2017</v>
      </c>
      <c r="AC60" s="609" t="s">
        <v>260</v>
      </c>
      <c r="AD60" s="611" t="s">
        <v>261</v>
      </c>
      <c r="AE60" s="612"/>
      <c r="AF60" s="607" t="s">
        <v>262</v>
      </c>
    </row>
    <row r="61" spans="2:33" ht="15.75" thickBot="1" x14ac:dyDescent="0.3">
      <c r="B61"/>
      <c r="C61" s="361" t="s">
        <v>83</v>
      </c>
      <c r="D61" s="362" t="s">
        <v>84</v>
      </c>
      <c r="E61" s="610"/>
      <c r="F61" s="361" t="s">
        <v>83</v>
      </c>
      <c r="G61" s="362" t="s">
        <v>84</v>
      </c>
      <c r="H61" s="610"/>
      <c r="I61" s="361" t="s">
        <v>83</v>
      </c>
      <c r="J61" s="362" t="s">
        <v>84</v>
      </c>
      <c r="K61" s="610"/>
      <c r="L61" s="361" t="s">
        <v>83</v>
      </c>
      <c r="M61" s="362" t="s">
        <v>84</v>
      </c>
      <c r="N61" s="610"/>
      <c r="O61" s="361" t="s">
        <v>83</v>
      </c>
      <c r="P61" s="362" t="s">
        <v>84</v>
      </c>
      <c r="Q61" s="610"/>
      <c r="R61" s="361" t="s">
        <v>83</v>
      </c>
      <c r="S61" s="362" t="s">
        <v>84</v>
      </c>
      <c r="T61" s="610"/>
      <c r="U61" s="361" t="s">
        <v>83</v>
      </c>
      <c r="V61" s="362" t="s">
        <v>84</v>
      </c>
      <c r="W61" s="610"/>
      <c r="X61" s="361" t="s">
        <v>83</v>
      </c>
      <c r="Y61" s="362" t="s">
        <v>84</v>
      </c>
      <c r="Z61" s="610"/>
      <c r="AA61" s="361" t="s">
        <v>83</v>
      </c>
      <c r="AB61" s="362" t="s">
        <v>84</v>
      </c>
      <c r="AC61" s="610"/>
      <c r="AD61" s="123" t="s">
        <v>83</v>
      </c>
      <c r="AE61" s="124" t="s">
        <v>84</v>
      </c>
      <c r="AF61" s="608" t="s">
        <v>191</v>
      </c>
    </row>
    <row r="62" spans="2:33" ht="15.75" thickBot="1" x14ac:dyDescent="0.3">
      <c r="B62" s="125" t="s">
        <v>264</v>
      </c>
      <c r="C62" s="505">
        <v>107</v>
      </c>
      <c r="D62" s="511">
        <v>107</v>
      </c>
      <c r="E62" s="511">
        <v>107</v>
      </c>
      <c r="F62" s="505">
        <v>433.52</v>
      </c>
      <c r="G62" s="505">
        <v>433.52</v>
      </c>
      <c r="H62" s="505">
        <v>433.52</v>
      </c>
      <c r="I62" s="505">
        <v>577.36</v>
      </c>
      <c r="J62" s="505">
        <v>577.36</v>
      </c>
      <c r="K62" s="505">
        <v>577.36</v>
      </c>
      <c r="L62" s="505">
        <v>209.33</v>
      </c>
      <c r="M62" s="505">
        <v>209.33</v>
      </c>
      <c r="N62" s="505">
        <v>209.33</v>
      </c>
      <c r="O62" s="505">
        <v>313.14999999999998</v>
      </c>
      <c r="P62" s="505">
        <v>313.14999999999998</v>
      </c>
      <c r="Q62" s="505">
        <v>313.14999999999998</v>
      </c>
      <c r="R62" s="505">
        <v>369.15</v>
      </c>
      <c r="S62" s="505">
        <v>369.15</v>
      </c>
      <c r="T62" s="505">
        <v>369.15</v>
      </c>
      <c r="U62" s="505">
        <v>222.14</v>
      </c>
      <c r="V62" s="505">
        <v>222.14</v>
      </c>
      <c r="W62" s="505">
        <v>222.14</v>
      </c>
      <c r="X62" s="505">
        <v>255.16</v>
      </c>
      <c r="Y62" s="505">
        <v>255.16</v>
      </c>
      <c r="Z62" s="505">
        <v>255.16</v>
      </c>
      <c r="AA62" s="505">
        <v>522.30999999999995</v>
      </c>
      <c r="AB62" s="505">
        <v>522.30999999999995</v>
      </c>
      <c r="AC62" s="505">
        <v>522.30999999999995</v>
      </c>
      <c r="AD62" s="512">
        <v>555.35</v>
      </c>
      <c r="AE62" s="513">
        <v>488.66</v>
      </c>
      <c r="AF62" s="512">
        <v>555.35</v>
      </c>
    </row>
    <row r="63" spans="2:33" ht="15.75" thickTop="1" x14ac:dyDescent="0.25">
      <c r="B63" s="126" t="s">
        <v>265</v>
      </c>
      <c r="C63" s="506">
        <v>223.54</v>
      </c>
      <c r="D63" s="509">
        <v>223.54</v>
      </c>
      <c r="E63" s="509">
        <v>223.54</v>
      </c>
      <c r="F63" s="506">
        <v>189.13</v>
      </c>
      <c r="G63" s="506">
        <v>189.13</v>
      </c>
      <c r="H63" s="506">
        <v>189.13</v>
      </c>
      <c r="I63" s="506">
        <v>166.15</v>
      </c>
      <c r="J63" s="506">
        <v>166.15</v>
      </c>
      <c r="K63" s="506">
        <v>166.15</v>
      </c>
      <c r="L63" s="506">
        <v>138.56</v>
      </c>
      <c r="M63" s="506">
        <v>138.56</v>
      </c>
      <c r="N63" s="506">
        <v>138.56</v>
      </c>
      <c r="O63" s="506">
        <v>0</v>
      </c>
      <c r="P63" s="506">
        <v>0</v>
      </c>
      <c r="Q63" s="506">
        <v>0</v>
      </c>
      <c r="R63" s="506">
        <v>216.13</v>
      </c>
      <c r="S63" s="506">
        <v>216.13</v>
      </c>
      <c r="T63" s="506">
        <v>216.13</v>
      </c>
      <c r="U63" s="506">
        <v>0</v>
      </c>
      <c r="V63" s="506">
        <v>0</v>
      </c>
      <c r="W63" s="506">
        <v>0</v>
      </c>
      <c r="X63" s="506">
        <v>0</v>
      </c>
      <c r="Y63" s="506">
        <v>0</v>
      </c>
      <c r="Z63" s="506">
        <v>0</v>
      </c>
      <c r="AA63" s="506">
        <v>0</v>
      </c>
      <c r="AB63" s="506">
        <v>0</v>
      </c>
      <c r="AC63" s="506">
        <v>0</v>
      </c>
      <c r="AD63" s="540">
        <f>C63+F63+I63+L63+O63+R63+U63+X63+AA63</f>
        <v>933.50999999999988</v>
      </c>
      <c r="AE63" s="541">
        <f>D63+G63+J63+M63+P63+S63+V63+Y63+AA63</f>
        <v>933.50999999999988</v>
      </c>
      <c r="AF63" s="540">
        <f>AD63+AE63</f>
        <v>1867.0199999999998</v>
      </c>
      <c r="AG63" s="298"/>
    </row>
    <row r="64" spans="2:33" x14ac:dyDescent="0.25">
      <c r="B64" s="128" t="s">
        <v>266</v>
      </c>
      <c r="C64" s="538">
        <v>0</v>
      </c>
      <c r="D64" s="539">
        <v>0</v>
      </c>
      <c r="E64" s="539">
        <v>0</v>
      </c>
      <c r="F64" s="507">
        <v>193.15</v>
      </c>
      <c r="G64" s="507">
        <v>193.15</v>
      </c>
      <c r="H64" s="507">
        <v>193.15</v>
      </c>
      <c r="I64" s="507">
        <v>189.16</v>
      </c>
      <c r="J64" s="507">
        <v>189.16</v>
      </c>
      <c r="K64" s="507">
        <v>189.16</v>
      </c>
      <c r="L64" s="507">
        <v>306.13</v>
      </c>
      <c r="M64" s="507">
        <v>306.13</v>
      </c>
      <c r="N64" s="507">
        <v>306.13</v>
      </c>
      <c r="O64" s="507">
        <v>206.54</v>
      </c>
      <c r="P64" s="507">
        <v>206.54</v>
      </c>
      <c r="Q64" s="507">
        <v>206.54</v>
      </c>
      <c r="R64" s="507">
        <v>116.31</v>
      </c>
      <c r="S64" s="507">
        <v>116.31</v>
      </c>
      <c r="T64" s="507">
        <v>116.31</v>
      </c>
      <c r="U64" s="507">
        <v>203.66</v>
      </c>
      <c r="V64" s="507">
        <v>203.66</v>
      </c>
      <c r="W64" s="507">
        <v>203.66</v>
      </c>
      <c r="X64" s="507">
        <v>119.53</v>
      </c>
      <c r="Y64" s="507">
        <v>119.53</v>
      </c>
      <c r="Z64" s="507">
        <v>119.53</v>
      </c>
      <c r="AA64" s="507">
        <v>327.14999999999998</v>
      </c>
      <c r="AB64" s="507">
        <v>327.14999999999998</v>
      </c>
      <c r="AC64" s="507">
        <v>327.14999999999998</v>
      </c>
      <c r="AD64" s="540">
        <f t="shared" ref="AD64:AD70" si="18">C64+F64+I64+L64+O64+R64+U64+X64+AA64</f>
        <v>1661.63</v>
      </c>
      <c r="AE64" s="541">
        <f t="shared" ref="AE64:AE73" si="19">D64+G64+J64+M64+P64+S64+V64+Y64+AA64</f>
        <v>1661.63</v>
      </c>
      <c r="AF64" s="540">
        <f t="shared" ref="AF64:AF73" si="20">AD64+AE64</f>
        <v>3323.26</v>
      </c>
    </row>
    <row r="65" spans="2:37" x14ac:dyDescent="0.25">
      <c r="B65" s="128" t="s">
        <v>267</v>
      </c>
      <c r="C65" s="507">
        <v>412.53</v>
      </c>
      <c r="D65" s="510">
        <v>412.53</v>
      </c>
      <c r="E65" s="510">
        <v>412.53</v>
      </c>
      <c r="F65" s="507">
        <v>325.14</v>
      </c>
      <c r="G65" s="507">
        <v>325.14</v>
      </c>
      <c r="H65" s="507">
        <v>325.14</v>
      </c>
      <c r="I65" s="507">
        <v>563.17999999999995</v>
      </c>
      <c r="J65" s="507">
        <v>563.17999999999995</v>
      </c>
      <c r="K65" s="507">
        <v>563.17999999999995</v>
      </c>
      <c r="L65" s="507">
        <v>214.68</v>
      </c>
      <c r="M65" s="507">
        <v>214.68</v>
      </c>
      <c r="N65" s="507">
        <v>214.68</v>
      </c>
      <c r="O65" s="507">
        <v>237.55</v>
      </c>
      <c r="P65" s="507">
        <v>237.55</v>
      </c>
      <c r="Q65" s="507">
        <v>237.55</v>
      </c>
      <c r="R65" s="507">
        <v>299.18</v>
      </c>
      <c r="S65" s="507">
        <v>299.18</v>
      </c>
      <c r="T65" s="507">
        <v>299.18</v>
      </c>
      <c r="U65" s="507">
        <v>433.15</v>
      </c>
      <c r="V65" s="507">
        <v>433.15</v>
      </c>
      <c r="W65" s="507">
        <v>433.15</v>
      </c>
      <c r="X65" s="507">
        <v>436.21</v>
      </c>
      <c r="Y65" s="507">
        <v>436.21</v>
      </c>
      <c r="Z65" s="507">
        <v>436.21</v>
      </c>
      <c r="AA65" s="507">
        <v>633.15</v>
      </c>
      <c r="AB65" s="507">
        <v>633.15</v>
      </c>
      <c r="AC65" s="507">
        <v>633.15</v>
      </c>
      <c r="AD65" s="540">
        <f t="shared" si="18"/>
        <v>3554.77</v>
      </c>
      <c r="AE65" s="541">
        <f t="shared" si="19"/>
        <v>3554.77</v>
      </c>
      <c r="AF65" s="540">
        <f t="shared" si="20"/>
        <v>7109.54</v>
      </c>
    </row>
    <row r="66" spans="2:37" x14ac:dyDescent="0.25">
      <c r="B66" s="128" t="s">
        <v>268</v>
      </c>
      <c r="C66" s="507">
        <v>586.33000000000004</v>
      </c>
      <c r="D66" s="510">
        <v>586.33000000000004</v>
      </c>
      <c r="E66" s="510">
        <v>586.33000000000004</v>
      </c>
      <c r="F66" s="507">
        <v>655.34</v>
      </c>
      <c r="G66" s="507">
        <v>655.34</v>
      </c>
      <c r="H66" s="507">
        <v>655.34</v>
      </c>
      <c r="I66" s="507">
        <v>745.16</v>
      </c>
      <c r="J66" s="507">
        <v>745.16</v>
      </c>
      <c r="K66" s="507">
        <v>745.16</v>
      </c>
      <c r="L66" s="507">
        <v>609.11</v>
      </c>
      <c r="M66" s="507">
        <v>609.11</v>
      </c>
      <c r="N66" s="507">
        <v>609.11</v>
      </c>
      <c r="O66" s="507">
        <v>455.33</v>
      </c>
      <c r="P66" s="507">
        <v>455.33</v>
      </c>
      <c r="Q66" s="507">
        <v>455.33</v>
      </c>
      <c r="R66" s="507">
        <v>0</v>
      </c>
      <c r="S66" s="507">
        <v>0</v>
      </c>
      <c r="T66" s="507">
        <v>0</v>
      </c>
      <c r="U66" s="507">
        <v>671.13</v>
      </c>
      <c r="V66" s="507">
        <v>671.13</v>
      </c>
      <c r="W66" s="507">
        <v>671.13</v>
      </c>
      <c r="X66" s="507">
        <v>631.54999999999995</v>
      </c>
      <c r="Y66" s="507">
        <v>631.54999999999995</v>
      </c>
      <c r="Z66" s="507">
        <v>631.54999999999995</v>
      </c>
      <c r="AA66" s="507">
        <v>815.33</v>
      </c>
      <c r="AB66" s="507">
        <v>815.33</v>
      </c>
      <c r="AC66" s="507">
        <v>815.33</v>
      </c>
      <c r="AD66" s="540">
        <f t="shared" si="18"/>
        <v>5169.28</v>
      </c>
      <c r="AE66" s="541">
        <f t="shared" si="19"/>
        <v>5169.28</v>
      </c>
      <c r="AF66" s="540">
        <f t="shared" si="20"/>
        <v>10338.56</v>
      </c>
    </row>
    <row r="67" spans="2:37" x14ac:dyDescent="0.25">
      <c r="B67" s="128" t="s">
        <v>269</v>
      </c>
      <c r="C67" s="507">
        <v>836.12</v>
      </c>
      <c r="D67" s="510">
        <v>836.12</v>
      </c>
      <c r="E67" s="510">
        <v>836.12</v>
      </c>
      <c r="F67" s="507">
        <v>786.55</v>
      </c>
      <c r="G67" s="507">
        <v>786.55</v>
      </c>
      <c r="H67" s="507">
        <v>786.55</v>
      </c>
      <c r="I67" s="507">
        <v>533.19000000000005</v>
      </c>
      <c r="J67" s="507">
        <v>533.19000000000005</v>
      </c>
      <c r="K67" s="507">
        <v>533.19000000000005</v>
      </c>
      <c r="L67" s="507">
        <v>743.16</v>
      </c>
      <c r="M67" s="507">
        <v>743.16</v>
      </c>
      <c r="N67" s="507">
        <v>743.16</v>
      </c>
      <c r="O67" s="538">
        <v>0</v>
      </c>
      <c r="P67" s="538">
        <v>0</v>
      </c>
      <c r="Q67" s="538">
        <v>0</v>
      </c>
      <c r="R67" s="538">
        <v>0</v>
      </c>
      <c r="S67" s="538">
        <v>0</v>
      </c>
      <c r="T67" s="538">
        <v>0</v>
      </c>
      <c r="U67" s="538">
        <v>0</v>
      </c>
      <c r="V67" s="538">
        <v>0</v>
      </c>
      <c r="W67" s="538">
        <v>0</v>
      </c>
      <c r="X67" s="538">
        <v>0</v>
      </c>
      <c r="Y67" s="538">
        <v>0</v>
      </c>
      <c r="Z67" s="538">
        <v>0</v>
      </c>
      <c r="AA67" s="538">
        <v>0</v>
      </c>
      <c r="AB67" s="538">
        <v>0</v>
      </c>
      <c r="AC67" s="538">
        <v>0</v>
      </c>
      <c r="AD67" s="540">
        <f t="shared" si="18"/>
        <v>2899.02</v>
      </c>
      <c r="AE67" s="541">
        <f t="shared" si="19"/>
        <v>2899.02</v>
      </c>
      <c r="AF67" s="540">
        <f t="shared" si="20"/>
        <v>5798.04</v>
      </c>
    </row>
    <row r="68" spans="2:37" ht="15.75" thickBot="1" x14ac:dyDescent="0.3">
      <c r="B68" s="345" t="s">
        <v>270</v>
      </c>
      <c r="C68" s="507">
        <v>313.13</v>
      </c>
      <c r="D68" s="507">
        <v>313.13</v>
      </c>
      <c r="E68" s="507">
        <v>313.13</v>
      </c>
      <c r="F68" s="507">
        <v>422.15</v>
      </c>
      <c r="G68" s="507">
        <v>422.15</v>
      </c>
      <c r="H68" s="507">
        <v>422.15</v>
      </c>
      <c r="I68" s="507">
        <v>503.13</v>
      </c>
      <c r="J68" s="507">
        <v>503.13</v>
      </c>
      <c r="K68" s="507">
        <v>503.13</v>
      </c>
      <c r="L68" s="508">
        <v>209.33</v>
      </c>
      <c r="M68" s="508">
        <v>209.33</v>
      </c>
      <c r="N68" s="508">
        <v>209.33</v>
      </c>
      <c r="O68" s="508">
        <v>155.13</v>
      </c>
      <c r="P68" s="508">
        <v>155.13</v>
      </c>
      <c r="Q68" s="508">
        <v>155.13</v>
      </c>
      <c r="R68" s="508">
        <v>122.33</v>
      </c>
      <c r="S68" s="508">
        <v>122.33</v>
      </c>
      <c r="T68" s="508">
        <v>122.33</v>
      </c>
      <c r="U68" s="508">
        <v>133.55000000000001</v>
      </c>
      <c r="V68" s="508">
        <v>133.55000000000001</v>
      </c>
      <c r="W68" s="508">
        <v>133.55000000000001</v>
      </c>
      <c r="X68" s="508">
        <v>411.19</v>
      </c>
      <c r="Y68" s="508">
        <v>411.19</v>
      </c>
      <c r="Z68" s="508">
        <v>411.19</v>
      </c>
      <c r="AA68" s="508">
        <v>533.66</v>
      </c>
      <c r="AB68" s="508">
        <v>533.66</v>
      </c>
      <c r="AC68" s="508">
        <v>533.66</v>
      </c>
      <c r="AD68" s="540">
        <f t="shared" si="18"/>
        <v>2803.5999999999995</v>
      </c>
      <c r="AE68" s="541"/>
      <c r="AF68" s="540">
        <f t="shared" si="20"/>
        <v>2803.5999999999995</v>
      </c>
    </row>
    <row r="69" spans="2:37" ht="16.5" thickTop="1" thickBot="1" x14ac:dyDescent="0.3">
      <c r="B69" s="345" t="s">
        <v>271</v>
      </c>
      <c r="C69" s="507">
        <v>313.13</v>
      </c>
      <c r="D69" s="507">
        <v>313.13</v>
      </c>
      <c r="E69" s="507">
        <v>313.13</v>
      </c>
      <c r="F69" s="507">
        <v>422.15</v>
      </c>
      <c r="G69" s="507">
        <v>422.15</v>
      </c>
      <c r="H69" s="507">
        <v>422.15</v>
      </c>
      <c r="I69" s="507">
        <v>577.13</v>
      </c>
      <c r="J69" s="507">
        <v>577.13</v>
      </c>
      <c r="K69" s="507">
        <v>577.13</v>
      </c>
      <c r="L69" s="508">
        <v>209.33</v>
      </c>
      <c r="M69" s="508">
        <v>209.33</v>
      </c>
      <c r="N69" s="508">
        <v>209.33</v>
      </c>
      <c r="O69" s="508">
        <v>155.13</v>
      </c>
      <c r="P69" s="508">
        <v>155.13</v>
      </c>
      <c r="Q69" s="508">
        <v>155.13</v>
      </c>
      <c r="R69" s="508">
        <v>122.33</v>
      </c>
      <c r="S69" s="508">
        <v>122.33</v>
      </c>
      <c r="T69" s="508">
        <v>122.33</v>
      </c>
      <c r="U69" s="508">
        <v>133.55000000000001</v>
      </c>
      <c r="V69" s="508">
        <v>133.55000000000001</v>
      </c>
      <c r="W69" s="508">
        <v>133.55000000000001</v>
      </c>
      <c r="X69" s="508">
        <v>411.19</v>
      </c>
      <c r="Y69" s="508">
        <v>411.19</v>
      </c>
      <c r="Z69" s="508">
        <v>411.19</v>
      </c>
      <c r="AA69" s="508">
        <v>533.66</v>
      </c>
      <c r="AB69" s="508">
        <v>533.66</v>
      </c>
      <c r="AC69" s="508">
        <v>533.66</v>
      </c>
      <c r="AD69" s="540">
        <f t="shared" si="18"/>
        <v>2877.5999999999995</v>
      </c>
      <c r="AE69" s="541">
        <f t="shared" si="19"/>
        <v>2877.5999999999995</v>
      </c>
      <c r="AF69" s="540">
        <f t="shared" si="20"/>
        <v>5755.1999999999989</v>
      </c>
      <c r="AH69" s="298"/>
      <c r="AI69" s="298"/>
      <c r="AJ69" s="298"/>
      <c r="AK69" s="298"/>
    </row>
    <row r="70" spans="2:37" ht="16.5" thickTop="1" thickBot="1" x14ac:dyDescent="0.3">
      <c r="B70" s="345" t="s">
        <v>272</v>
      </c>
      <c r="C70" s="507">
        <v>313.13</v>
      </c>
      <c r="D70" s="507">
        <v>313.13</v>
      </c>
      <c r="E70" s="507">
        <v>313.13</v>
      </c>
      <c r="F70" s="507">
        <v>422.15</v>
      </c>
      <c r="G70" s="507">
        <v>422.15</v>
      </c>
      <c r="H70" s="507">
        <v>422.15</v>
      </c>
      <c r="I70" s="507">
        <v>577.13</v>
      </c>
      <c r="J70" s="507">
        <v>577.13</v>
      </c>
      <c r="K70" s="507">
        <v>577.13</v>
      </c>
      <c r="L70" s="508">
        <v>209.33</v>
      </c>
      <c r="M70" s="508">
        <v>209.33</v>
      </c>
      <c r="N70" s="508">
        <v>209.33</v>
      </c>
      <c r="O70" s="508">
        <v>155.13</v>
      </c>
      <c r="P70" s="508">
        <v>155.13</v>
      </c>
      <c r="Q70" s="508">
        <v>155.13</v>
      </c>
      <c r="R70" s="508">
        <v>122.33</v>
      </c>
      <c r="S70" s="508">
        <v>122.33</v>
      </c>
      <c r="T70" s="508">
        <v>122.33</v>
      </c>
      <c r="U70" s="508">
        <v>133.55000000000001</v>
      </c>
      <c r="V70" s="508">
        <v>133.55000000000001</v>
      </c>
      <c r="W70" s="508">
        <v>133.55000000000001</v>
      </c>
      <c r="X70" s="508">
        <v>411.19</v>
      </c>
      <c r="Y70" s="508">
        <v>411.19</v>
      </c>
      <c r="Z70" s="508">
        <v>411.19</v>
      </c>
      <c r="AA70" s="508">
        <v>533.66</v>
      </c>
      <c r="AB70" s="508">
        <v>533.66</v>
      </c>
      <c r="AC70" s="508">
        <v>533.66</v>
      </c>
      <c r="AD70" s="540">
        <f t="shared" si="18"/>
        <v>2877.5999999999995</v>
      </c>
      <c r="AE70" s="541">
        <f t="shared" si="19"/>
        <v>2877.5999999999995</v>
      </c>
      <c r="AF70" s="540">
        <f t="shared" si="20"/>
        <v>5755.1999999999989</v>
      </c>
      <c r="AI70" s="298"/>
    </row>
    <row r="71" spans="2:37" ht="16.5" thickTop="1" thickBot="1" x14ac:dyDescent="0.3">
      <c r="B71" s="345" t="s">
        <v>273</v>
      </c>
      <c r="C71" s="507">
        <v>313.13</v>
      </c>
      <c r="D71" s="507">
        <v>313.13</v>
      </c>
      <c r="E71" s="507">
        <v>313.13</v>
      </c>
      <c r="F71" s="507">
        <v>422.15</v>
      </c>
      <c r="G71" s="507">
        <v>422.15</v>
      </c>
      <c r="H71" s="507">
        <v>422.15</v>
      </c>
      <c r="I71" s="507">
        <v>577.13</v>
      </c>
      <c r="J71" s="507">
        <v>577.13</v>
      </c>
      <c r="K71" s="507">
        <v>577.13</v>
      </c>
      <c r="L71" s="508">
        <v>209.33</v>
      </c>
      <c r="M71" s="508">
        <v>209.33</v>
      </c>
      <c r="N71" s="508">
        <v>209.33</v>
      </c>
      <c r="O71" s="508">
        <v>155.13</v>
      </c>
      <c r="P71" s="508">
        <v>155.13</v>
      </c>
      <c r="Q71" s="508">
        <v>155.13</v>
      </c>
      <c r="R71" s="508">
        <v>122.33</v>
      </c>
      <c r="S71" s="508">
        <v>122.33</v>
      </c>
      <c r="T71" s="508">
        <v>122.33</v>
      </c>
      <c r="U71" s="508">
        <v>133.55000000000001</v>
      </c>
      <c r="V71" s="508">
        <v>133.55000000000001</v>
      </c>
      <c r="W71" s="508">
        <v>133.55000000000001</v>
      </c>
      <c r="X71" s="508">
        <v>411.19</v>
      </c>
      <c r="Y71" s="508">
        <v>411.19</v>
      </c>
      <c r="Z71" s="508">
        <v>411.19</v>
      </c>
      <c r="AA71" s="508">
        <v>533.66</v>
      </c>
      <c r="AB71" s="508">
        <v>533.66</v>
      </c>
      <c r="AC71" s="508">
        <v>533.66</v>
      </c>
      <c r="AD71" s="540">
        <v>0</v>
      </c>
      <c r="AE71" s="541"/>
      <c r="AF71" s="540">
        <f t="shared" si="20"/>
        <v>0</v>
      </c>
    </row>
    <row r="72" spans="2:37" ht="16.5" thickTop="1" thickBot="1" x14ac:dyDescent="0.3">
      <c r="B72" s="345" t="s">
        <v>274</v>
      </c>
      <c r="C72" s="507">
        <v>313.13</v>
      </c>
      <c r="D72" s="507">
        <v>313.13</v>
      </c>
      <c r="E72" s="507">
        <v>313.13</v>
      </c>
      <c r="F72" s="507">
        <v>422.15</v>
      </c>
      <c r="G72" s="507">
        <v>422.15</v>
      </c>
      <c r="H72" s="507">
        <v>422.15</v>
      </c>
      <c r="I72" s="507">
        <v>577.13</v>
      </c>
      <c r="J72" s="507">
        <v>577.13</v>
      </c>
      <c r="K72" s="507">
        <v>577.13</v>
      </c>
      <c r="L72" s="508">
        <v>209.33</v>
      </c>
      <c r="M72" s="508">
        <v>209.33</v>
      </c>
      <c r="N72" s="508">
        <v>209.33</v>
      </c>
      <c r="O72" s="508">
        <v>155.13</v>
      </c>
      <c r="P72" s="508">
        <v>155.13</v>
      </c>
      <c r="Q72" s="508">
        <v>155.13</v>
      </c>
      <c r="R72" s="508">
        <v>122.33</v>
      </c>
      <c r="S72" s="508">
        <v>122.33</v>
      </c>
      <c r="T72" s="508">
        <v>122.33</v>
      </c>
      <c r="U72" s="508">
        <v>133.55000000000001</v>
      </c>
      <c r="V72" s="508">
        <v>133.55000000000001</v>
      </c>
      <c r="W72" s="508">
        <v>133.55000000000001</v>
      </c>
      <c r="X72" s="508">
        <v>411.19</v>
      </c>
      <c r="Y72" s="508">
        <v>411.19</v>
      </c>
      <c r="Z72" s="508">
        <v>411.19</v>
      </c>
      <c r="AA72" s="508">
        <v>533.66</v>
      </c>
      <c r="AB72" s="508">
        <v>533.66</v>
      </c>
      <c r="AC72" s="508">
        <v>533.66</v>
      </c>
      <c r="AD72" s="540">
        <v>0</v>
      </c>
      <c r="AE72" s="541"/>
      <c r="AF72" s="540">
        <f t="shared" si="20"/>
        <v>0</v>
      </c>
    </row>
    <row r="73" spans="2:37" ht="16.5" thickTop="1" thickBot="1" x14ac:dyDescent="0.3">
      <c r="B73" s="346" t="s">
        <v>275</v>
      </c>
      <c r="C73" s="507">
        <v>313.13</v>
      </c>
      <c r="D73" s="507">
        <v>313.13</v>
      </c>
      <c r="E73" s="507">
        <v>313.13</v>
      </c>
      <c r="F73" s="507">
        <v>422.15</v>
      </c>
      <c r="G73" s="507">
        <v>422.15</v>
      </c>
      <c r="H73" s="507">
        <v>422.15</v>
      </c>
      <c r="I73" s="507">
        <v>577.13</v>
      </c>
      <c r="J73" s="507">
        <v>577.13</v>
      </c>
      <c r="K73" s="507">
        <v>577.13</v>
      </c>
      <c r="L73" s="508">
        <v>209.33</v>
      </c>
      <c r="M73" s="508">
        <v>209.33</v>
      </c>
      <c r="N73" s="508">
        <v>209.33</v>
      </c>
      <c r="O73" s="508">
        <v>155.13</v>
      </c>
      <c r="P73" s="508">
        <v>155.13</v>
      </c>
      <c r="Q73" s="508">
        <v>155.13</v>
      </c>
      <c r="R73" s="508">
        <v>122.33</v>
      </c>
      <c r="S73" s="508">
        <v>122.33</v>
      </c>
      <c r="T73" s="508">
        <v>122.33</v>
      </c>
      <c r="U73" s="508">
        <v>133.55000000000001</v>
      </c>
      <c r="V73" s="508">
        <v>133.55000000000001</v>
      </c>
      <c r="W73" s="508">
        <v>133.55000000000001</v>
      </c>
      <c r="X73" s="508">
        <v>411.19</v>
      </c>
      <c r="Y73" s="508">
        <v>411.19</v>
      </c>
      <c r="Z73" s="508">
        <v>411.19</v>
      </c>
      <c r="AA73" s="508">
        <v>533.66</v>
      </c>
      <c r="AB73" s="508">
        <v>533.66</v>
      </c>
      <c r="AC73" s="508">
        <v>533.66</v>
      </c>
      <c r="AD73" s="540">
        <f>C73+F73+I73+L73+O73+R73+U73+X73+AA73</f>
        <v>2877.5999999999995</v>
      </c>
      <c r="AE73" s="541">
        <f t="shared" si="19"/>
        <v>2877.5999999999995</v>
      </c>
      <c r="AF73" s="540">
        <f t="shared" si="20"/>
        <v>5755.1999999999989</v>
      </c>
    </row>
    <row r="74" spans="2:37" ht="16.5" thickTop="1" thickBot="1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2:37" x14ac:dyDescent="0.25">
      <c r="B75" s="350" t="s">
        <v>279</v>
      </c>
      <c r="C75" s="119">
        <v>2009</v>
      </c>
      <c r="D75" s="120">
        <v>2009</v>
      </c>
      <c r="E75" s="613" t="s">
        <v>252</v>
      </c>
      <c r="F75" s="119">
        <v>2010</v>
      </c>
      <c r="G75" s="120">
        <v>2010</v>
      </c>
      <c r="H75" s="613" t="s">
        <v>253</v>
      </c>
      <c r="I75" s="119">
        <v>2011</v>
      </c>
      <c r="J75" s="120">
        <v>2011</v>
      </c>
      <c r="K75" s="613" t="s">
        <v>254</v>
      </c>
      <c r="L75" s="119">
        <v>2012</v>
      </c>
      <c r="M75" s="120">
        <v>2012</v>
      </c>
      <c r="N75" s="613" t="s">
        <v>255</v>
      </c>
      <c r="O75" s="119">
        <v>2013</v>
      </c>
      <c r="P75" s="120">
        <v>2013</v>
      </c>
      <c r="Q75" s="613" t="s">
        <v>256</v>
      </c>
      <c r="R75" s="119">
        <v>2014</v>
      </c>
      <c r="S75" s="120">
        <v>2014</v>
      </c>
      <c r="T75" s="613" t="s">
        <v>257</v>
      </c>
      <c r="U75" s="119">
        <v>2015</v>
      </c>
      <c r="V75" s="120">
        <v>2015</v>
      </c>
      <c r="W75" s="613" t="s">
        <v>258</v>
      </c>
      <c r="X75" s="119">
        <v>2016</v>
      </c>
      <c r="Y75" s="120">
        <v>2016</v>
      </c>
      <c r="Z75" s="613" t="s">
        <v>259</v>
      </c>
      <c r="AA75" s="119">
        <v>2017</v>
      </c>
      <c r="AB75" s="120">
        <v>2017</v>
      </c>
      <c r="AC75" s="613" t="s">
        <v>260</v>
      </c>
      <c r="AD75" s="611" t="s">
        <v>261</v>
      </c>
      <c r="AE75" s="612"/>
      <c r="AF75" s="607" t="s">
        <v>262</v>
      </c>
    </row>
    <row r="76" spans="2:37" ht="15.75" thickBot="1" x14ac:dyDescent="0.3">
      <c r="B76"/>
      <c r="C76" s="121" t="s">
        <v>83</v>
      </c>
      <c r="D76" s="122" t="s">
        <v>84</v>
      </c>
      <c r="E76" s="614"/>
      <c r="F76" s="121" t="s">
        <v>83</v>
      </c>
      <c r="G76" s="122" t="s">
        <v>84</v>
      </c>
      <c r="H76" s="614"/>
      <c r="I76" s="121" t="s">
        <v>83</v>
      </c>
      <c r="J76" s="122" t="s">
        <v>84</v>
      </c>
      <c r="K76" s="614"/>
      <c r="L76" s="121" t="s">
        <v>83</v>
      </c>
      <c r="M76" s="122" t="s">
        <v>84</v>
      </c>
      <c r="N76" s="614"/>
      <c r="O76" s="121" t="s">
        <v>83</v>
      </c>
      <c r="P76" s="122" t="s">
        <v>84</v>
      </c>
      <c r="Q76" s="614"/>
      <c r="R76" s="121" t="s">
        <v>83</v>
      </c>
      <c r="S76" s="122" t="s">
        <v>84</v>
      </c>
      <c r="T76" s="614"/>
      <c r="U76" s="121" t="s">
        <v>83</v>
      </c>
      <c r="V76" s="122" t="s">
        <v>84</v>
      </c>
      <c r="W76" s="614"/>
      <c r="X76" s="121" t="s">
        <v>83</v>
      </c>
      <c r="Y76" s="122" t="s">
        <v>84</v>
      </c>
      <c r="Z76" s="614"/>
      <c r="AA76" s="121" t="s">
        <v>83</v>
      </c>
      <c r="AB76" s="122" t="s">
        <v>84</v>
      </c>
      <c r="AC76" s="614"/>
      <c r="AD76" s="123" t="s">
        <v>83</v>
      </c>
      <c r="AE76" s="124" t="s">
        <v>84</v>
      </c>
      <c r="AF76" s="608" t="s">
        <v>191</v>
      </c>
    </row>
    <row r="77" spans="2:37" ht="15.75" thickBot="1" x14ac:dyDescent="0.3">
      <c r="B77" s="125" t="s">
        <v>264</v>
      </c>
      <c r="C77" s="135">
        <f>SUM(C78:C88)</f>
        <v>36516</v>
      </c>
      <c r="D77" s="135">
        <f t="shared" ref="D77:AC77" si="21">SUM(D78:D88)</f>
        <v>6097</v>
      </c>
      <c r="E77" s="135">
        <f t="shared" si="21"/>
        <v>42613</v>
      </c>
      <c r="F77" s="135">
        <f t="shared" si="21"/>
        <v>432650</v>
      </c>
      <c r="G77" s="135">
        <f t="shared" si="21"/>
        <v>101698</v>
      </c>
      <c r="H77" s="135">
        <f t="shared" si="21"/>
        <v>534348</v>
      </c>
      <c r="I77" s="135">
        <f t="shared" si="21"/>
        <v>1034143</v>
      </c>
      <c r="J77" s="135">
        <f t="shared" si="21"/>
        <v>585487</v>
      </c>
      <c r="K77" s="135">
        <f t="shared" si="21"/>
        <v>1811679.8813856945</v>
      </c>
      <c r="L77" s="135">
        <f t="shared" si="21"/>
        <v>665267</v>
      </c>
      <c r="M77" s="135">
        <f t="shared" si="21"/>
        <v>366206</v>
      </c>
      <c r="N77" s="135">
        <f t="shared" si="21"/>
        <v>1031473</v>
      </c>
      <c r="O77" s="135">
        <f t="shared" si="21"/>
        <v>12853</v>
      </c>
      <c r="P77" s="135">
        <f t="shared" si="21"/>
        <v>6722</v>
      </c>
      <c r="Q77" s="135">
        <f t="shared" si="21"/>
        <v>19575</v>
      </c>
      <c r="R77" s="135">
        <f t="shared" si="21"/>
        <v>4851</v>
      </c>
      <c r="S77" s="135">
        <f t="shared" si="21"/>
        <v>5107</v>
      </c>
      <c r="T77" s="135">
        <f t="shared" si="21"/>
        <v>9958</v>
      </c>
      <c r="U77" s="135">
        <f t="shared" si="21"/>
        <v>16825</v>
      </c>
      <c r="V77" s="135">
        <f t="shared" si="21"/>
        <v>11934</v>
      </c>
      <c r="W77" s="135">
        <f t="shared" si="21"/>
        <v>28759</v>
      </c>
      <c r="X77" s="135">
        <f t="shared" si="21"/>
        <v>12036</v>
      </c>
      <c r="Y77" s="135">
        <f t="shared" si="21"/>
        <v>6790.4263468468453</v>
      </c>
      <c r="Z77" s="135">
        <f t="shared" si="21"/>
        <v>18826.426346846845</v>
      </c>
      <c r="AA77" s="135">
        <f t="shared" si="21"/>
        <v>111954</v>
      </c>
      <c r="AB77" s="135">
        <f t="shared" si="21"/>
        <v>43549</v>
      </c>
      <c r="AC77" s="135">
        <f t="shared" si="21"/>
        <v>155503</v>
      </c>
      <c r="AD77" s="376">
        <v>2312537.9364408008</v>
      </c>
      <c r="AE77" s="375">
        <v>1039399.5383329471</v>
      </c>
      <c r="AF77" s="344">
        <v>3351937.4747737478</v>
      </c>
      <c r="AH77" s="295"/>
    </row>
    <row r="78" spans="2:37" ht="16.5" thickTop="1" thickBot="1" x14ac:dyDescent="0.3">
      <c r="B78" s="126" t="s">
        <v>265</v>
      </c>
      <c r="C78" s="490">
        <v>12999</v>
      </c>
      <c r="D78" s="493">
        <v>2533</v>
      </c>
      <c r="E78" s="542">
        <f t="shared" ref="E78:E88" si="22">C78+D78</f>
        <v>15532</v>
      </c>
      <c r="F78" s="490">
        <v>1203</v>
      </c>
      <c r="G78" s="493">
        <v>146</v>
      </c>
      <c r="H78" s="542">
        <f t="shared" ref="H78:H88" si="23">F78+G78</f>
        <v>1349</v>
      </c>
      <c r="I78" s="490">
        <v>42306</v>
      </c>
      <c r="J78" s="493">
        <v>5636</v>
      </c>
      <c r="K78" s="514">
        <v>42457.301666666681</v>
      </c>
      <c r="L78" s="490">
        <v>7963</v>
      </c>
      <c r="M78" s="493">
        <v>3044</v>
      </c>
      <c r="N78" s="514">
        <f>L78+M78</f>
        <v>11007</v>
      </c>
      <c r="O78" s="490">
        <v>0</v>
      </c>
      <c r="P78" s="493">
        <v>0</v>
      </c>
      <c r="Q78" s="514">
        <f>O78+P78</f>
        <v>0</v>
      </c>
      <c r="R78" s="490">
        <v>301</v>
      </c>
      <c r="S78" s="493">
        <v>88</v>
      </c>
      <c r="T78" s="514">
        <f>R78+S78</f>
        <v>389</v>
      </c>
      <c r="U78" s="490">
        <v>0</v>
      </c>
      <c r="V78" s="493">
        <v>0</v>
      </c>
      <c r="W78" s="514">
        <f>U78+V78</f>
        <v>0</v>
      </c>
      <c r="X78" s="490">
        <v>0</v>
      </c>
      <c r="Y78" s="493">
        <v>0</v>
      </c>
      <c r="Z78" s="514">
        <f>X78+Y78</f>
        <v>0</v>
      </c>
      <c r="AA78" s="490">
        <v>0</v>
      </c>
      <c r="AB78" s="493">
        <v>0</v>
      </c>
      <c r="AC78" s="514">
        <f>AA78+AB78</f>
        <v>0</v>
      </c>
      <c r="AD78" s="545">
        <f t="shared" ref="AD78:AE88" si="24">C78+F78+I78+L78+O78+R78+U78+X78+AA78</f>
        <v>64772</v>
      </c>
      <c r="AE78" s="546">
        <f t="shared" si="24"/>
        <v>11447</v>
      </c>
      <c r="AF78" s="543">
        <f t="shared" ref="AF78:AF88" si="25">AD78+AE78</f>
        <v>76219</v>
      </c>
      <c r="AH78" s="295"/>
    </row>
    <row r="79" spans="2:37" ht="16.5" thickTop="1" thickBot="1" x14ac:dyDescent="0.3">
      <c r="B79" s="128" t="s">
        <v>266</v>
      </c>
      <c r="C79" s="528">
        <v>0</v>
      </c>
      <c r="D79" s="529">
        <v>0</v>
      </c>
      <c r="E79" s="542">
        <f t="shared" si="22"/>
        <v>0</v>
      </c>
      <c r="F79" s="491">
        <v>55603</v>
      </c>
      <c r="G79" s="494">
        <v>17601</v>
      </c>
      <c r="H79" s="542">
        <f t="shared" si="23"/>
        <v>73204</v>
      </c>
      <c r="I79" s="491">
        <v>75303</v>
      </c>
      <c r="J79" s="494">
        <v>33555</v>
      </c>
      <c r="K79" s="536">
        <v>91769.098106764141</v>
      </c>
      <c r="L79" s="491">
        <v>33565</v>
      </c>
      <c r="M79" s="494">
        <v>16222</v>
      </c>
      <c r="N79" s="514">
        <f t="shared" ref="N79:N88" si="26">L79+M79</f>
        <v>49787</v>
      </c>
      <c r="O79" s="491">
        <v>4555</v>
      </c>
      <c r="P79" s="494">
        <v>2333</v>
      </c>
      <c r="Q79" s="514">
        <f t="shared" ref="Q79:Q88" si="27">O79+P79</f>
        <v>6888</v>
      </c>
      <c r="R79" s="491">
        <v>1503</v>
      </c>
      <c r="S79" s="494">
        <v>2011</v>
      </c>
      <c r="T79" s="514">
        <f t="shared" ref="T79:T88" si="28">R79+S79</f>
        <v>3514</v>
      </c>
      <c r="U79" s="491">
        <v>1222</v>
      </c>
      <c r="V79" s="494">
        <v>4033</v>
      </c>
      <c r="W79" s="514">
        <f t="shared" ref="W79:W88" si="29">U79+V79</f>
        <v>5255</v>
      </c>
      <c r="X79" s="491">
        <v>2003</v>
      </c>
      <c r="Y79" s="494">
        <v>1002.1678333333333</v>
      </c>
      <c r="Z79" s="514">
        <f t="shared" ref="Z79:Z88" si="30">X79+Y79</f>
        <v>3005.1678333333334</v>
      </c>
      <c r="AA79" s="491">
        <v>4055</v>
      </c>
      <c r="AB79" s="494">
        <v>4505</v>
      </c>
      <c r="AC79" s="514">
        <f t="shared" ref="AC79:AC88" si="31">AA79+AB79</f>
        <v>8560</v>
      </c>
      <c r="AD79" s="545">
        <f t="shared" si="24"/>
        <v>177809</v>
      </c>
      <c r="AE79" s="546">
        <f t="shared" si="24"/>
        <v>81262.16783333334</v>
      </c>
      <c r="AF79" s="543">
        <f t="shared" si="25"/>
        <v>259071.16783333334</v>
      </c>
      <c r="AG79" s="295"/>
    </row>
    <row r="80" spans="2:37" ht="16.5" thickTop="1" thickBot="1" x14ac:dyDescent="0.3">
      <c r="B80" s="128" t="s">
        <v>267</v>
      </c>
      <c r="C80" s="491">
        <v>1406</v>
      </c>
      <c r="D80" s="494">
        <v>655</v>
      </c>
      <c r="E80" s="542">
        <f t="shared" si="22"/>
        <v>2061</v>
      </c>
      <c r="F80" s="491">
        <v>236111</v>
      </c>
      <c r="G80" s="494">
        <v>33212</v>
      </c>
      <c r="H80" s="542">
        <f t="shared" si="23"/>
        <v>269323</v>
      </c>
      <c r="I80" s="491">
        <v>689455</v>
      </c>
      <c r="J80" s="494">
        <v>439121</v>
      </c>
      <c r="K80" s="536">
        <v>1175318.9213633975</v>
      </c>
      <c r="L80" s="491">
        <v>405603</v>
      </c>
      <c r="M80" s="494">
        <v>304555</v>
      </c>
      <c r="N80" s="514">
        <f t="shared" si="26"/>
        <v>710158</v>
      </c>
      <c r="O80" s="491">
        <v>7893</v>
      </c>
      <c r="P80" s="494">
        <v>4056</v>
      </c>
      <c r="Q80" s="514">
        <f t="shared" si="27"/>
        <v>11949</v>
      </c>
      <c r="R80" s="491">
        <v>3047</v>
      </c>
      <c r="S80" s="494">
        <v>3008</v>
      </c>
      <c r="T80" s="514">
        <f t="shared" si="28"/>
        <v>6055</v>
      </c>
      <c r="U80" s="491">
        <v>15603</v>
      </c>
      <c r="V80" s="494">
        <v>7901</v>
      </c>
      <c r="W80" s="514">
        <f t="shared" si="29"/>
        <v>23504</v>
      </c>
      <c r="X80" s="491">
        <v>8022</v>
      </c>
      <c r="Y80" s="494">
        <v>5788.2585135135123</v>
      </c>
      <c r="Z80" s="514">
        <f t="shared" si="30"/>
        <v>13810.258513513512</v>
      </c>
      <c r="AA80" s="491">
        <v>18999</v>
      </c>
      <c r="AB80" s="494">
        <v>6033</v>
      </c>
      <c r="AC80" s="514">
        <f t="shared" si="31"/>
        <v>25032</v>
      </c>
      <c r="AD80" s="545">
        <f t="shared" si="24"/>
        <v>1386139</v>
      </c>
      <c r="AE80" s="546">
        <f t="shared" si="24"/>
        <v>804329.25851351349</v>
      </c>
      <c r="AF80" s="543">
        <f t="shared" si="25"/>
        <v>2190468.2585135135</v>
      </c>
    </row>
    <row r="81" spans="1:34" ht="16.5" thickTop="1" thickBot="1" x14ac:dyDescent="0.3">
      <c r="B81" s="128" t="s">
        <v>268</v>
      </c>
      <c r="C81" s="491">
        <v>455</v>
      </c>
      <c r="D81" s="494">
        <v>0</v>
      </c>
      <c r="E81" s="542">
        <f t="shared" si="22"/>
        <v>455</v>
      </c>
      <c r="F81" s="491">
        <v>105302</v>
      </c>
      <c r="G81" s="494">
        <v>43608</v>
      </c>
      <c r="H81" s="542">
        <f t="shared" si="23"/>
        <v>148910</v>
      </c>
      <c r="I81" s="491">
        <v>208444</v>
      </c>
      <c r="J81" s="494">
        <v>103555</v>
      </c>
      <c r="K81" s="536">
        <v>486685.97807780677</v>
      </c>
      <c r="L81" s="491">
        <v>203666</v>
      </c>
      <c r="M81" s="494">
        <v>26777</v>
      </c>
      <c r="N81" s="514">
        <f t="shared" si="26"/>
        <v>230443</v>
      </c>
      <c r="O81" s="491">
        <v>405</v>
      </c>
      <c r="P81" s="494">
        <v>333</v>
      </c>
      <c r="Q81" s="514">
        <f t="shared" si="27"/>
        <v>738</v>
      </c>
      <c r="R81" s="491">
        <v>0</v>
      </c>
      <c r="S81" s="494">
        <v>0</v>
      </c>
      <c r="T81" s="514">
        <f t="shared" si="28"/>
        <v>0</v>
      </c>
      <c r="U81" s="491">
        <v>0</v>
      </c>
      <c r="V81" s="494">
        <v>0</v>
      </c>
      <c r="W81" s="514">
        <f t="shared" si="29"/>
        <v>0</v>
      </c>
      <c r="X81" s="491">
        <v>2011</v>
      </c>
      <c r="Y81" s="494">
        <v>0</v>
      </c>
      <c r="Z81" s="514">
        <f t="shared" si="30"/>
        <v>2011</v>
      </c>
      <c r="AA81" s="491">
        <v>88900</v>
      </c>
      <c r="AB81" s="494">
        <v>33011</v>
      </c>
      <c r="AC81" s="514">
        <f t="shared" si="31"/>
        <v>121911</v>
      </c>
      <c r="AD81" s="545">
        <f t="shared" si="24"/>
        <v>609183</v>
      </c>
      <c r="AE81" s="546">
        <f t="shared" si="24"/>
        <v>207284</v>
      </c>
      <c r="AF81" s="543">
        <f t="shared" si="25"/>
        <v>816467</v>
      </c>
    </row>
    <row r="82" spans="1:34" ht="16.5" thickTop="1" thickBot="1" x14ac:dyDescent="0.3">
      <c r="B82" s="128" t="s">
        <v>269</v>
      </c>
      <c r="C82" s="491">
        <v>1322</v>
      </c>
      <c r="D82" s="494">
        <v>111</v>
      </c>
      <c r="E82" s="542">
        <f t="shared" si="22"/>
        <v>1433</v>
      </c>
      <c r="F82" s="491">
        <v>16233</v>
      </c>
      <c r="G82" s="494">
        <v>3020</v>
      </c>
      <c r="H82" s="542">
        <f t="shared" si="23"/>
        <v>19253</v>
      </c>
      <c r="I82" s="491">
        <v>2333</v>
      </c>
      <c r="J82" s="494">
        <v>409</v>
      </c>
      <c r="K82" s="536">
        <v>2538.532971208153</v>
      </c>
      <c r="L82" s="528">
        <v>0</v>
      </c>
      <c r="M82" s="529">
        <v>0</v>
      </c>
      <c r="N82" s="514">
        <f t="shared" si="26"/>
        <v>0</v>
      </c>
      <c r="O82" s="528">
        <v>0</v>
      </c>
      <c r="P82" s="529">
        <v>0</v>
      </c>
      <c r="Q82" s="514">
        <f t="shared" si="27"/>
        <v>0</v>
      </c>
      <c r="R82" s="528">
        <v>0</v>
      </c>
      <c r="S82" s="529">
        <v>0</v>
      </c>
      <c r="T82" s="514">
        <f t="shared" si="28"/>
        <v>0</v>
      </c>
      <c r="U82" s="528">
        <v>0</v>
      </c>
      <c r="V82" s="529">
        <v>0</v>
      </c>
      <c r="W82" s="514">
        <f t="shared" si="29"/>
        <v>0</v>
      </c>
      <c r="X82" s="528">
        <v>0</v>
      </c>
      <c r="Y82" s="529">
        <v>0</v>
      </c>
      <c r="Z82" s="514">
        <f t="shared" si="30"/>
        <v>0</v>
      </c>
      <c r="AA82" s="528">
        <v>0</v>
      </c>
      <c r="AB82" s="529">
        <v>0</v>
      </c>
      <c r="AC82" s="514">
        <f t="shared" si="31"/>
        <v>0</v>
      </c>
      <c r="AD82" s="545">
        <f t="shared" si="24"/>
        <v>19888</v>
      </c>
      <c r="AE82" s="546">
        <f t="shared" si="24"/>
        <v>3540</v>
      </c>
      <c r="AF82" s="543">
        <f t="shared" si="25"/>
        <v>23428</v>
      </c>
    </row>
    <row r="83" spans="1:34" ht="16.5" thickTop="1" thickBot="1" x14ac:dyDescent="0.3">
      <c r="B83" s="345" t="s">
        <v>270</v>
      </c>
      <c r="C83" s="491">
        <v>3899</v>
      </c>
      <c r="D83" s="494">
        <v>0</v>
      </c>
      <c r="E83" s="542">
        <f t="shared" si="22"/>
        <v>3899</v>
      </c>
      <c r="F83" s="491">
        <v>4532</v>
      </c>
      <c r="G83" s="494">
        <v>0</v>
      </c>
      <c r="H83" s="542">
        <f t="shared" si="23"/>
        <v>4532</v>
      </c>
      <c r="I83" s="528">
        <v>0</v>
      </c>
      <c r="J83" s="529">
        <v>0</v>
      </c>
      <c r="K83" s="536">
        <v>0</v>
      </c>
      <c r="L83" s="528">
        <v>0</v>
      </c>
      <c r="M83" s="529">
        <v>0</v>
      </c>
      <c r="N83" s="514">
        <f t="shared" si="26"/>
        <v>0</v>
      </c>
      <c r="O83" s="528">
        <v>0</v>
      </c>
      <c r="P83" s="529">
        <v>0</v>
      </c>
      <c r="Q83" s="514">
        <f t="shared" si="27"/>
        <v>0</v>
      </c>
      <c r="R83" s="528">
        <v>0</v>
      </c>
      <c r="S83" s="529">
        <v>0</v>
      </c>
      <c r="T83" s="514">
        <f t="shared" si="28"/>
        <v>0</v>
      </c>
      <c r="U83" s="528">
        <v>0</v>
      </c>
      <c r="V83" s="529">
        <v>0</v>
      </c>
      <c r="W83" s="514">
        <f t="shared" si="29"/>
        <v>0</v>
      </c>
      <c r="X83" s="528">
        <v>0</v>
      </c>
      <c r="Y83" s="529">
        <v>0</v>
      </c>
      <c r="Z83" s="514">
        <f t="shared" si="30"/>
        <v>0</v>
      </c>
      <c r="AA83" s="528">
        <v>0</v>
      </c>
      <c r="AB83" s="529">
        <v>0</v>
      </c>
      <c r="AC83" s="514">
        <f t="shared" si="31"/>
        <v>0</v>
      </c>
      <c r="AD83" s="545">
        <f t="shared" si="24"/>
        <v>8431</v>
      </c>
      <c r="AE83" s="546">
        <f t="shared" si="24"/>
        <v>0</v>
      </c>
      <c r="AF83" s="543">
        <f t="shared" si="25"/>
        <v>8431</v>
      </c>
    </row>
    <row r="84" spans="1:34" ht="16.5" thickTop="1" thickBot="1" x14ac:dyDescent="0.3">
      <c r="B84" s="345" t="s">
        <v>271</v>
      </c>
      <c r="C84" s="491">
        <v>15333</v>
      </c>
      <c r="D84" s="494">
        <v>2015</v>
      </c>
      <c r="E84" s="542">
        <f t="shared" si="22"/>
        <v>17348</v>
      </c>
      <c r="F84" s="491">
        <v>13666</v>
      </c>
      <c r="G84" s="494">
        <v>4111</v>
      </c>
      <c r="H84" s="542">
        <f t="shared" si="23"/>
        <v>17777</v>
      </c>
      <c r="I84" s="491">
        <v>16302</v>
      </c>
      <c r="J84" s="494">
        <v>3211</v>
      </c>
      <c r="K84" s="536">
        <v>12910.049199851288</v>
      </c>
      <c r="L84" s="491">
        <v>207</v>
      </c>
      <c r="M84" s="494">
        <v>405</v>
      </c>
      <c r="N84" s="514">
        <f t="shared" si="26"/>
        <v>612</v>
      </c>
      <c r="O84" s="528">
        <v>0</v>
      </c>
      <c r="P84" s="529">
        <v>0</v>
      </c>
      <c r="Q84" s="514">
        <f t="shared" si="27"/>
        <v>0</v>
      </c>
      <c r="R84" s="528">
        <v>0</v>
      </c>
      <c r="S84" s="529">
        <v>0</v>
      </c>
      <c r="T84" s="514">
        <f t="shared" si="28"/>
        <v>0</v>
      </c>
      <c r="U84" s="528">
        <v>0</v>
      </c>
      <c r="V84" s="529">
        <v>0</v>
      </c>
      <c r="W84" s="514">
        <f t="shared" si="29"/>
        <v>0</v>
      </c>
      <c r="X84" s="528">
        <v>0</v>
      </c>
      <c r="Y84" s="529">
        <v>0</v>
      </c>
      <c r="Z84" s="514">
        <f t="shared" si="30"/>
        <v>0</v>
      </c>
      <c r="AA84" s="528">
        <v>0</v>
      </c>
      <c r="AB84" s="529">
        <v>0</v>
      </c>
      <c r="AC84" s="514">
        <f t="shared" si="31"/>
        <v>0</v>
      </c>
      <c r="AD84" s="545">
        <f t="shared" si="24"/>
        <v>45508</v>
      </c>
      <c r="AE84" s="546">
        <f t="shared" si="24"/>
        <v>9742</v>
      </c>
      <c r="AF84" s="543">
        <f t="shared" si="25"/>
        <v>55250</v>
      </c>
    </row>
    <row r="85" spans="1:34" ht="16.5" thickTop="1" thickBot="1" x14ac:dyDescent="0.3">
      <c r="B85" s="345" t="s">
        <v>272</v>
      </c>
      <c r="C85" s="491">
        <v>1102</v>
      </c>
      <c r="D85" s="494">
        <v>783</v>
      </c>
      <c r="E85" s="542">
        <f t="shared" si="22"/>
        <v>1885</v>
      </c>
      <c r="F85" s="528">
        <v>0</v>
      </c>
      <c r="G85" s="529">
        <v>0</v>
      </c>
      <c r="H85" s="542">
        <f t="shared" si="23"/>
        <v>0</v>
      </c>
      <c r="I85" s="528">
        <v>0</v>
      </c>
      <c r="J85" s="529">
        <v>0</v>
      </c>
      <c r="K85" s="536">
        <v>0</v>
      </c>
      <c r="L85" s="528">
        <v>0</v>
      </c>
      <c r="M85" s="529">
        <v>0</v>
      </c>
      <c r="N85" s="514">
        <f t="shared" si="26"/>
        <v>0</v>
      </c>
      <c r="O85" s="528">
        <v>0</v>
      </c>
      <c r="P85" s="529">
        <v>0</v>
      </c>
      <c r="Q85" s="514">
        <f t="shared" si="27"/>
        <v>0</v>
      </c>
      <c r="R85" s="528">
        <v>0</v>
      </c>
      <c r="S85" s="529">
        <v>0</v>
      </c>
      <c r="T85" s="514">
        <f t="shared" si="28"/>
        <v>0</v>
      </c>
      <c r="U85" s="528">
        <v>0</v>
      </c>
      <c r="V85" s="529">
        <v>0</v>
      </c>
      <c r="W85" s="514">
        <f t="shared" si="29"/>
        <v>0</v>
      </c>
      <c r="X85" s="528">
        <v>0</v>
      </c>
      <c r="Y85" s="529">
        <v>0</v>
      </c>
      <c r="Z85" s="514">
        <f t="shared" si="30"/>
        <v>0</v>
      </c>
      <c r="AA85" s="528">
        <v>0</v>
      </c>
      <c r="AB85" s="529">
        <v>0</v>
      </c>
      <c r="AC85" s="514">
        <f t="shared" si="31"/>
        <v>0</v>
      </c>
      <c r="AD85" s="545">
        <f t="shared" si="24"/>
        <v>1102</v>
      </c>
      <c r="AE85" s="546">
        <f t="shared" si="24"/>
        <v>783</v>
      </c>
      <c r="AF85" s="543">
        <f t="shared" si="25"/>
        <v>1885</v>
      </c>
    </row>
    <row r="86" spans="1:34" ht="16.5" thickTop="1" thickBot="1" x14ac:dyDescent="0.3">
      <c r="B86" s="345" t="s">
        <v>273</v>
      </c>
      <c r="C86" s="528">
        <v>0</v>
      </c>
      <c r="D86" s="529">
        <v>0</v>
      </c>
      <c r="E86" s="542">
        <f t="shared" si="22"/>
        <v>0</v>
      </c>
      <c r="F86" s="528">
        <v>0</v>
      </c>
      <c r="G86" s="529">
        <v>0</v>
      </c>
      <c r="H86" s="542">
        <f t="shared" si="23"/>
        <v>0</v>
      </c>
      <c r="I86" s="528">
        <v>0</v>
      </c>
      <c r="J86" s="529">
        <v>0</v>
      </c>
      <c r="K86" s="536">
        <v>0</v>
      </c>
      <c r="L86" s="528">
        <v>0</v>
      </c>
      <c r="M86" s="529">
        <v>0</v>
      </c>
      <c r="N86" s="514">
        <f t="shared" si="26"/>
        <v>0</v>
      </c>
      <c r="O86" s="528">
        <v>0</v>
      </c>
      <c r="P86" s="529">
        <v>0</v>
      </c>
      <c r="Q86" s="514">
        <f t="shared" si="27"/>
        <v>0</v>
      </c>
      <c r="R86" s="528">
        <v>0</v>
      </c>
      <c r="S86" s="529">
        <v>0</v>
      </c>
      <c r="T86" s="514">
        <f t="shared" si="28"/>
        <v>0</v>
      </c>
      <c r="U86" s="528">
        <v>0</v>
      </c>
      <c r="V86" s="529">
        <v>0</v>
      </c>
      <c r="W86" s="514">
        <f t="shared" si="29"/>
        <v>0</v>
      </c>
      <c r="X86" s="528">
        <v>0</v>
      </c>
      <c r="Y86" s="529">
        <v>0</v>
      </c>
      <c r="Z86" s="514">
        <f t="shared" si="30"/>
        <v>0</v>
      </c>
      <c r="AA86" s="528">
        <v>0</v>
      </c>
      <c r="AB86" s="529">
        <v>0</v>
      </c>
      <c r="AC86" s="514">
        <f t="shared" si="31"/>
        <v>0</v>
      </c>
      <c r="AD86" s="545">
        <f t="shared" si="24"/>
        <v>0</v>
      </c>
      <c r="AE86" s="546">
        <f t="shared" si="24"/>
        <v>0</v>
      </c>
      <c r="AF86" s="543">
        <f t="shared" si="25"/>
        <v>0</v>
      </c>
    </row>
    <row r="87" spans="1:34" ht="16.5" thickTop="1" thickBot="1" x14ac:dyDescent="0.3">
      <c r="B87" s="345" t="s">
        <v>274</v>
      </c>
      <c r="C87" s="528">
        <v>0</v>
      </c>
      <c r="D87" s="529">
        <v>0</v>
      </c>
      <c r="E87" s="542">
        <f t="shared" si="22"/>
        <v>0</v>
      </c>
      <c r="F87" s="528">
        <v>0</v>
      </c>
      <c r="G87" s="529">
        <v>0</v>
      </c>
      <c r="H87" s="542">
        <f t="shared" si="23"/>
        <v>0</v>
      </c>
      <c r="I87" s="528">
        <v>0</v>
      </c>
      <c r="J87" s="529">
        <v>0</v>
      </c>
      <c r="K87" s="536">
        <v>0</v>
      </c>
      <c r="L87" s="528">
        <v>0</v>
      </c>
      <c r="M87" s="529">
        <v>0</v>
      </c>
      <c r="N87" s="514">
        <f t="shared" si="26"/>
        <v>0</v>
      </c>
      <c r="O87" s="528">
        <v>0</v>
      </c>
      <c r="P87" s="529">
        <v>0</v>
      </c>
      <c r="Q87" s="514">
        <f t="shared" si="27"/>
        <v>0</v>
      </c>
      <c r="R87" s="528">
        <v>0</v>
      </c>
      <c r="S87" s="529">
        <v>0</v>
      </c>
      <c r="T87" s="514">
        <f t="shared" si="28"/>
        <v>0</v>
      </c>
      <c r="U87" s="528">
        <v>0</v>
      </c>
      <c r="V87" s="529">
        <v>0</v>
      </c>
      <c r="W87" s="514">
        <f t="shared" si="29"/>
        <v>0</v>
      </c>
      <c r="X87" s="528">
        <v>0</v>
      </c>
      <c r="Y87" s="529">
        <v>0</v>
      </c>
      <c r="Z87" s="514">
        <f t="shared" si="30"/>
        <v>0</v>
      </c>
      <c r="AA87" s="528">
        <v>0</v>
      </c>
      <c r="AB87" s="529">
        <v>0</v>
      </c>
      <c r="AC87" s="514">
        <f t="shared" si="31"/>
        <v>0</v>
      </c>
      <c r="AD87" s="545">
        <f t="shared" si="24"/>
        <v>0</v>
      </c>
      <c r="AE87" s="546">
        <f t="shared" si="24"/>
        <v>0</v>
      </c>
      <c r="AF87" s="543">
        <f t="shared" si="25"/>
        <v>0</v>
      </c>
    </row>
    <row r="88" spans="1:34" ht="16.5" thickTop="1" thickBot="1" x14ac:dyDescent="0.3">
      <c r="B88" s="346" t="s">
        <v>275</v>
      </c>
      <c r="C88" s="530">
        <v>0</v>
      </c>
      <c r="D88" s="531">
        <v>0</v>
      </c>
      <c r="E88" s="542">
        <f t="shared" si="22"/>
        <v>0</v>
      </c>
      <c r="F88" s="530">
        <v>0</v>
      </c>
      <c r="G88" s="531">
        <v>0</v>
      </c>
      <c r="H88" s="542">
        <f t="shared" si="23"/>
        <v>0</v>
      </c>
      <c r="I88" s="530">
        <v>0</v>
      </c>
      <c r="J88" s="531">
        <v>0</v>
      </c>
      <c r="K88" s="544">
        <v>0</v>
      </c>
      <c r="L88" s="502">
        <v>14263</v>
      </c>
      <c r="M88" s="504">
        <v>15203</v>
      </c>
      <c r="N88" s="514">
        <f t="shared" si="26"/>
        <v>29466</v>
      </c>
      <c r="O88" s="530">
        <v>0</v>
      </c>
      <c r="P88" s="531">
        <v>0</v>
      </c>
      <c r="Q88" s="514">
        <f t="shared" si="27"/>
        <v>0</v>
      </c>
      <c r="R88" s="530">
        <v>0</v>
      </c>
      <c r="S88" s="531">
        <v>0</v>
      </c>
      <c r="T88" s="514">
        <f t="shared" si="28"/>
        <v>0</v>
      </c>
      <c r="U88" s="530">
        <v>0</v>
      </c>
      <c r="V88" s="531">
        <v>0</v>
      </c>
      <c r="W88" s="514">
        <f t="shared" si="29"/>
        <v>0</v>
      </c>
      <c r="X88" s="530">
        <v>0</v>
      </c>
      <c r="Y88" s="531">
        <v>0</v>
      </c>
      <c r="Z88" s="514">
        <f t="shared" si="30"/>
        <v>0</v>
      </c>
      <c r="AA88" s="530">
        <v>0</v>
      </c>
      <c r="AB88" s="531">
        <v>0</v>
      </c>
      <c r="AC88" s="514">
        <f t="shared" si="31"/>
        <v>0</v>
      </c>
      <c r="AD88" s="545">
        <f t="shared" si="24"/>
        <v>14263</v>
      </c>
      <c r="AE88" s="546">
        <f t="shared" si="24"/>
        <v>15203</v>
      </c>
      <c r="AF88" s="543">
        <f t="shared" si="25"/>
        <v>29466</v>
      </c>
    </row>
    <row r="89" spans="1:34" ht="15.75" thickTop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340"/>
      <c r="X89"/>
      <c r="Y89"/>
      <c r="Z89"/>
      <c r="AA89"/>
      <c r="AB89"/>
      <c r="AC89"/>
      <c r="AD89"/>
      <c r="AE89"/>
      <c r="AF89"/>
    </row>
    <row r="90" spans="1:34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4" ht="14.45" hidden="1" customHeight="1" x14ac:dyDescent="0.25">
      <c r="B91" s="118" t="s">
        <v>280</v>
      </c>
      <c r="C91" s="359">
        <v>2009</v>
      </c>
      <c r="D91" s="360">
        <v>2009</v>
      </c>
      <c r="E91" s="609" t="s">
        <v>252</v>
      </c>
      <c r="F91" s="359">
        <v>2010</v>
      </c>
      <c r="G91" s="360">
        <v>2010</v>
      </c>
      <c r="H91" s="609" t="s">
        <v>253</v>
      </c>
      <c r="I91" s="359">
        <v>2011</v>
      </c>
      <c r="J91" s="360">
        <v>2011</v>
      </c>
      <c r="K91" s="609" t="s">
        <v>254</v>
      </c>
      <c r="L91" s="359">
        <v>2012</v>
      </c>
      <c r="M91" s="360">
        <v>2012</v>
      </c>
      <c r="N91" s="609" t="s">
        <v>255</v>
      </c>
      <c r="O91" s="359">
        <v>2013</v>
      </c>
      <c r="P91" s="360">
        <v>2013</v>
      </c>
      <c r="Q91" s="609" t="s">
        <v>256</v>
      </c>
      <c r="R91" s="359">
        <v>2014</v>
      </c>
      <c r="S91" s="360">
        <v>2014</v>
      </c>
      <c r="T91" s="609" t="s">
        <v>257</v>
      </c>
      <c r="U91" s="359">
        <v>2015</v>
      </c>
      <c r="V91" s="360">
        <v>2015</v>
      </c>
      <c r="W91" s="609" t="s">
        <v>258</v>
      </c>
      <c r="X91" s="359">
        <v>2016</v>
      </c>
      <c r="Y91" s="360">
        <v>2016</v>
      </c>
      <c r="Z91" s="609" t="s">
        <v>259</v>
      </c>
      <c r="AA91" s="359">
        <v>2017</v>
      </c>
      <c r="AB91" s="360">
        <v>2017</v>
      </c>
      <c r="AC91" s="609" t="s">
        <v>260</v>
      </c>
      <c r="AD91" s="611" t="s">
        <v>261</v>
      </c>
      <c r="AE91" s="612"/>
      <c r="AF91" s="607" t="s">
        <v>262</v>
      </c>
    </row>
    <row r="92" spans="1:34" ht="15" hidden="1" customHeight="1" thickBot="1" x14ac:dyDescent="0.3">
      <c r="B92"/>
      <c r="C92" s="361" t="s">
        <v>83</v>
      </c>
      <c r="D92" s="362" t="s">
        <v>84</v>
      </c>
      <c r="E92" s="610"/>
      <c r="F92" s="361" t="s">
        <v>83</v>
      </c>
      <c r="G92" s="362" t="s">
        <v>84</v>
      </c>
      <c r="H92" s="610"/>
      <c r="I92" s="361" t="s">
        <v>83</v>
      </c>
      <c r="J92" s="362" t="s">
        <v>84</v>
      </c>
      <c r="K92" s="610"/>
      <c r="L92" s="361" t="s">
        <v>83</v>
      </c>
      <c r="M92" s="362" t="s">
        <v>84</v>
      </c>
      <c r="N92" s="610"/>
      <c r="O92" s="361" t="s">
        <v>83</v>
      </c>
      <c r="P92" s="362" t="s">
        <v>84</v>
      </c>
      <c r="Q92" s="610"/>
      <c r="R92" s="361" t="s">
        <v>83</v>
      </c>
      <c r="S92" s="362" t="s">
        <v>84</v>
      </c>
      <c r="T92" s="610"/>
      <c r="U92" s="361" t="s">
        <v>83</v>
      </c>
      <c r="V92" s="362" t="s">
        <v>84</v>
      </c>
      <c r="W92" s="610"/>
      <c r="X92" s="361" t="s">
        <v>83</v>
      </c>
      <c r="Y92" s="362" t="s">
        <v>84</v>
      </c>
      <c r="Z92" s="610"/>
      <c r="AA92" s="361" t="s">
        <v>83</v>
      </c>
      <c r="AB92" s="362" t="s">
        <v>84</v>
      </c>
      <c r="AC92" s="610"/>
      <c r="AD92" s="123" t="s">
        <v>83</v>
      </c>
      <c r="AE92" s="124" t="s">
        <v>84</v>
      </c>
      <c r="AF92" s="608" t="s">
        <v>191</v>
      </c>
      <c r="AH92" s="589"/>
    </row>
    <row r="93" spans="1:34" ht="15" hidden="1" customHeight="1" thickBot="1" x14ac:dyDescent="0.3">
      <c r="A93" s="298"/>
      <c r="B93" s="125" t="s">
        <v>264</v>
      </c>
      <c r="C93" s="363">
        <v>193.8212955735076</v>
      </c>
      <c r="D93" s="364">
        <v>198.26678666378413</v>
      </c>
      <c r="E93" s="365">
        <v>194.46952013166452</v>
      </c>
      <c r="F93" s="363">
        <v>428.99477049105798</v>
      </c>
      <c r="G93" s="364">
        <v>415.2607464535356</v>
      </c>
      <c r="H93" s="365">
        <v>425.80991879868401</v>
      </c>
      <c r="I93" s="363">
        <v>397.34742866295556</v>
      </c>
      <c r="J93" s="364">
        <v>385.83781707698972</v>
      </c>
      <c r="K93" s="365">
        <v>393.87669883277403</v>
      </c>
      <c r="L93" s="363">
        <v>331.09036609410049</v>
      </c>
      <c r="M93" s="364">
        <v>324.08272463279013</v>
      </c>
      <c r="N93" s="365">
        <v>328.33934802950898</v>
      </c>
      <c r="O93" s="363">
        <v>228.23472931487302</v>
      </c>
      <c r="P93" s="364">
        <v>216.16711141568629</v>
      </c>
      <c r="Q93" s="365">
        <v>224.03383214053349</v>
      </c>
      <c r="R93" s="363">
        <v>217.26495726495725</v>
      </c>
      <c r="S93" s="364">
        <v>215.25389643036701</v>
      </c>
      <c r="T93" s="365">
        <v>216.41025641025638</v>
      </c>
      <c r="U93" s="363">
        <v>258.22978855810294</v>
      </c>
      <c r="V93" s="364">
        <v>249.2246060425195</v>
      </c>
      <c r="W93" s="365">
        <v>254.96151647095041</v>
      </c>
      <c r="X93" s="363">
        <v>281.04051948436262</v>
      </c>
      <c r="Y93" s="364">
        <v>265.18727231515334</v>
      </c>
      <c r="Z93" s="365">
        <v>274.52385979729729</v>
      </c>
      <c r="AA93" s="363">
        <v>578.01961332478959</v>
      </c>
      <c r="AB93" s="364">
        <v>467.08510447786824</v>
      </c>
      <c r="AC93" s="365">
        <v>538.30232558139539</v>
      </c>
      <c r="AD93" s="366">
        <v>378.13033447030125</v>
      </c>
      <c r="AE93" s="367">
        <v>362.32764581314638</v>
      </c>
      <c r="AF93" s="368">
        <v>373.11622728941364</v>
      </c>
      <c r="AH93" s="589"/>
    </row>
    <row r="94" spans="1:34" ht="15" hidden="1" customHeight="1" thickTop="1" x14ac:dyDescent="0.25">
      <c r="B94" s="126" t="s">
        <v>265</v>
      </c>
      <c r="C94" s="369">
        <v>165.38</v>
      </c>
      <c r="D94" s="370">
        <v>165.38</v>
      </c>
      <c r="E94" s="371">
        <v>165.38</v>
      </c>
      <c r="F94" s="369">
        <v>221.13499999999999</v>
      </c>
      <c r="G94" s="370">
        <v>221.13499999999999</v>
      </c>
      <c r="H94" s="371">
        <v>221.13499999999999</v>
      </c>
      <c r="I94" s="369">
        <v>284.94833333333332</v>
      </c>
      <c r="J94" s="370">
        <v>284.94833333333332</v>
      </c>
      <c r="K94" s="371">
        <v>284.94833333333332</v>
      </c>
      <c r="L94" s="369">
        <v>140</v>
      </c>
      <c r="M94" s="370">
        <v>140</v>
      </c>
      <c r="N94" s="371">
        <v>140</v>
      </c>
      <c r="O94" s="369">
        <v>0</v>
      </c>
      <c r="P94" s="370">
        <v>0</v>
      </c>
      <c r="Q94" s="371">
        <v>0</v>
      </c>
      <c r="R94" s="369">
        <v>140</v>
      </c>
      <c r="S94" s="370">
        <v>140</v>
      </c>
      <c r="T94" s="374">
        <v>140</v>
      </c>
      <c r="U94" s="369">
        <v>0</v>
      </c>
      <c r="V94" s="370">
        <v>0</v>
      </c>
      <c r="W94" s="371">
        <v>0</v>
      </c>
      <c r="X94" s="369">
        <v>0</v>
      </c>
      <c r="Y94" s="370">
        <v>0</v>
      </c>
      <c r="Z94" s="371">
        <v>0</v>
      </c>
      <c r="AA94" s="369">
        <v>0</v>
      </c>
      <c r="AB94" s="370">
        <v>0</v>
      </c>
      <c r="AC94" s="371">
        <v>0</v>
      </c>
      <c r="AD94" s="369">
        <v>208.24937771975635</v>
      </c>
      <c r="AE94" s="370">
        <v>208.24937771975635</v>
      </c>
      <c r="AF94" s="127">
        <v>208.24937771975635</v>
      </c>
    </row>
    <row r="95" spans="1:34" ht="14.45" hidden="1" customHeight="1" x14ac:dyDescent="0.25">
      <c r="B95" s="128" t="s">
        <v>266</v>
      </c>
      <c r="C95" s="372">
        <v>0</v>
      </c>
      <c r="D95" s="373">
        <v>0</v>
      </c>
      <c r="E95" s="371">
        <v>0</v>
      </c>
      <c r="F95" s="372">
        <v>181.63407894736838</v>
      </c>
      <c r="G95" s="373">
        <v>181.63407894736838</v>
      </c>
      <c r="H95" s="371">
        <v>181.63407894736838</v>
      </c>
      <c r="I95" s="372">
        <v>191.6905519480521</v>
      </c>
      <c r="J95" s="373">
        <v>191.6905519480521</v>
      </c>
      <c r="K95" s="371">
        <v>191.6905519480521</v>
      </c>
      <c r="L95" s="372">
        <v>150.63555970149255</v>
      </c>
      <c r="M95" s="373">
        <v>150.63555970149255</v>
      </c>
      <c r="N95" s="371">
        <v>150.63555970149255</v>
      </c>
      <c r="O95" s="372">
        <v>122.24137931034483</v>
      </c>
      <c r="P95" s="373">
        <v>122.24137931034483</v>
      </c>
      <c r="Q95" s="371">
        <v>122.24137931034483</v>
      </c>
      <c r="R95" s="372">
        <v>130</v>
      </c>
      <c r="S95" s="373">
        <v>130</v>
      </c>
      <c r="T95" s="371">
        <v>130</v>
      </c>
      <c r="U95" s="372">
        <v>125.76923076923077</v>
      </c>
      <c r="V95" s="373">
        <v>125.76923076923077</v>
      </c>
      <c r="W95" s="371">
        <v>125.76923076923077</v>
      </c>
      <c r="X95" s="372">
        <v>140.625</v>
      </c>
      <c r="Y95" s="373">
        <v>140.625</v>
      </c>
      <c r="Z95" s="371">
        <v>140.625</v>
      </c>
      <c r="AA95" s="372">
        <v>185</v>
      </c>
      <c r="AB95" s="373">
        <v>185</v>
      </c>
      <c r="AC95" s="371">
        <v>185</v>
      </c>
      <c r="AD95" s="372">
        <v>175.76455184810084</v>
      </c>
      <c r="AE95" s="373">
        <v>175.76455184810084</v>
      </c>
      <c r="AF95" s="127">
        <v>175.76455184810084</v>
      </c>
    </row>
    <row r="96" spans="1:34" ht="14.45" hidden="1" customHeight="1" x14ac:dyDescent="0.25">
      <c r="B96" s="128" t="s">
        <v>267</v>
      </c>
      <c r="C96" s="372">
        <v>379.04222222222222</v>
      </c>
      <c r="D96" s="373">
        <v>379.04222222222222</v>
      </c>
      <c r="E96" s="371">
        <v>379.04222222222222</v>
      </c>
      <c r="F96" s="372">
        <v>448.15313984168881</v>
      </c>
      <c r="G96" s="373">
        <v>448.15313984168881</v>
      </c>
      <c r="H96" s="371">
        <v>448.15313984168881</v>
      </c>
      <c r="I96" s="372">
        <v>372.69376407506701</v>
      </c>
      <c r="J96" s="373">
        <v>372.69376407506701</v>
      </c>
      <c r="K96" s="371">
        <v>372.69376407506701</v>
      </c>
      <c r="L96" s="372">
        <v>332.87104972375693</v>
      </c>
      <c r="M96" s="373">
        <v>332.87104972375693</v>
      </c>
      <c r="N96" s="371">
        <v>332.87104972375693</v>
      </c>
      <c r="O96" s="372">
        <v>295.55555555555554</v>
      </c>
      <c r="P96" s="373">
        <v>295.55555555555554</v>
      </c>
      <c r="Q96" s="371">
        <v>295.55555555555554</v>
      </c>
      <c r="R96" s="372">
        <v>315.55555555555554</v>
      </c>
      <c r="S96" s="373">
        <v>315.55555555555554</v>
      </c>
      <c r="T96" s="371">
        <v>315.55555555555554</v>
      </c>
      <c r="U96" s="372">
        <v>311.1320754716981</v>
      </c>
      <c r="V96" s="373">
        <v>311.1320754716981</v>
      </c>
      <c r="W96" s="371">
        <v>311.1320754716981</v>
      </c>
      <c r="X96" s="372">
        <v>304.86486486486484</v>
      </c>
      <c r="Y96" s="373">
        <v>304.86486486486484</v>
      </c>
      <c r="Z96" s="371">
        <v>304.86486486486484</v>
      </c>
      <c r="AA96" s="372">
        <v>500</v>
      </c>
      <c r="AB96" s="373">
        <v>500</v>
      </c>
      <c r="AC96" s="371">
        <v>500</v>
      </c>
      <c r="AD96" s="372">
        <v>364.33644040604298</v>
      </c>
      <c r="AE96" s="373">
        <v>364.33644040604298</v>
      </c>
      <c r="AF96" s="127">
        <v>364.33644040604298</v>
      </c>
    </row>
    <row r="97" spans="2:34" ht="14.45" hidden="1" customHeight="1" x14ac:dyDescent="0.25">
      <c r="B97" s="128" t="s">
        <v>268</v>
      </c>
      <c r="C97" s="372">
        <v>552.58500000000004</v>
      </c>
      <c r="D97" s="373">
        <v>552.58500000000004</v>
      </c>
      <c r="E97" s="371">
        <v>552.58500000000004</v>
      </c>
      <c r="F97" s="372">
        <v>622.24180527383362</v>
      </c>
      <c r="G97" s="373">
        <v>622.24180527383362</v>
      </c>
      <c r="H97" s="371">
        <v>622.24180527383362</v>
      </c>
      <c r="I97" s="372">
        <v>592.91453961456136</v>
      </c>
      <c r="J97" s="373">
        <v>592.91453961456136</v>
      </c>
      <c r="K97" s="371">
        <v>592.91453961456136</v>
      </c>
      <c r="L97" s="372">
        <v>489.81592592592591</v>
      </c>
      <c r="M97" s="373">
        <v>489.81592592592591</v>
      </c>
      <c r="N97" s="371">
        <v>489.81592592592591</v>
      </c>
      <c r="O97" s="372">
        <v>480</v>
      </c>
      <c r="P97" s="373">
        <v>480</v>
      </c>
      <c r="Q97" s="371">
        <v>480</v>
      </c>
      <c r="R97" s="372">
        <v>0</v>
      </c>
      <c r="S97" s="373">
        <v>0</v>
      </c>
      <c r="T97" s="371">
        <v>0</v>
      </c>
      <c r="U97" s="372">
        <v>476.66666666666669</v>
      </c>
      <c r="V97" s="373">
        <v>476.66666666666669</v>
      </c>
      <c r="W97" s="371">
        <v>476.66666666666669</v>
      </c>
      <c r="X97" s="372">
        <v>480</v>
      </c>
      <c r="Y97" s="373">
        <v>480</v>
      </c>
      <c r="Z97" s="371">
        <v>480</v>
      </c>
      <c r="AA97" s="372">
        <v>650</v>
      </c>
      <c r="AB97" s="373">
        <v>650</v>
      </c>
      <c r="AC97" s="371">
        <v>650</v>
      </c>
      <c r="AD97" s="372">
        <v>585.74943481057574</v>
      </c>
      <c r="AE97" s="373">
        <v>585.74943481057574</v>
      </c>
      <c r="AF97" s="127">
        <v>585.74943481057574</v>
      </c>
    </row>
    <row r="98" spans="2:34" ht="14.45" hidden="1" customHeight="1" x14ac:dyDescent="0.25">
      <c r="B98" s="128" t="s">
        <v>269</v>
      </c>
      <c r="C98" s="372">
        <v>814.62</v>
      </c>
      <c r="D98" s="373">
        <v>814.62</v>
      </c>
      <c r="E98" s="371">
        <v>814.62</v>
      </c>
      <c r="F98" s="372">
        <v>765.51181818181828</v>
      </c>
      <c r="G98" s="373">
        <v>765.51181818181828</v>
      </c>
      <c r="H98" s="371">
        <v>765.51181818181828</v>
      </c>
      <c r="I98" s="372">
        <v>739.95090909090914</v>
      </c>
      <c r="J98" s="373">
        <v>739.95090909090914</v>
      </c>
      <c r="K98" s="371">
        <v>739.95090909090914</v>
      </c>
      <c r="L98" s="372">
        <v>590</v>
      </c>
      <c r="M98" s="373">
        <v>590</v>
      </c>
      <c r="N98" s="371">
        <v>590</v>
      </c>
      <c r="O98" s="372">
        <v>0</v>
      </c>
      <c r="P98" s="373">
        <v>0</v>
      </c>
      <c r="Q98" s="371">
        <v>0</v>
      </c>
      <c r="R98" s="372">
        <v>0</v>
      </c>
      <c r="S98" s="373">
        <v>0</v>
      </c>
      <c r="T98" s="371">
        <v>0</v>
      </c>
      <c r="U98" s="372">
        <v>0</v>
      </c>
      <c r="V98" s="373">
        <v>0</v>
      </c>
      <c r="W98" s="371">
        <v>0</v>
      </c>
      <c r="X98" s="372">
        <v>0</v>
      </c>
      <c r="Y98" s="373">
        <v>0</v>
      </c>
      <c r="Z98" s="371">
        <v>0</v>
      </c>
      <c r="AA98" s="372">
        <v>0</v>
      </c>
      <c r="AB98" s="373">
        <v>0</v>
      </c>
      <c r="AC98" s="371">
        <v>0</v>
      </c>
      <c r="AD98" s="372">
        <v>766.64516746411505</v>
      </c>
      <c r="AE98" s="373">
        <v>766.64516746411505</v>
      </c>
      <c r="AF98" s="127">
        <v>766.64516746411505</v>
      </c>
    </row>
    <row r="99" spans="2:34" ht="14.45" hidden="1" customHeight="1" x14ac:dyDescent="0.25">
      <c r="B99" s="345" t="s">
        <v>270</v>
      </c>
      <c r="C99" s="372">
        <v>216.26111801242237</v>
      </c>
      <c r="D99" s="373">
        <v>216.26111801242237</v>
      </c>
      <c r="E99" s="371">
        <v>216.26111801242237</v>
      </c>
      <c r="F99" s="372">
        <v>466.98442359249339</v>
      </c>
      <c r="G99" s="373">
        <v>466.98442359249339</v>
      </c>
      <c r="H99" s="371">
        <v>466.98442359249339</v>
      </c>
      <c r="I99" s="372">
        <v>391.74060971019946</v>
      </c>
      <c r="J99" s="373">
        <v>391.74060971019946</v>
      </c>
      <c r="K99" s="371">
        <v>391.74060971019946</v>
      </c>
      <c r="L99" s="372">
        <v>316.72399671951882</v>
      </c>
      <c r="M99" s="373">
        <v>316.72399671951882</v>
      </c>
      <c r="N99" s="371">
        <v>316.72399671951882</v>
      </c>
      <c r="O99" s="372">
        <v>186.46341463414635</v>
      </c>
      <c r="P99" s="373">
        <v>186.46341463414635</v>
      </c>
      <c r="Q99" s="371">
        <v>186.46341463414635</v>
      </c>
      <c r="R99" s="372">
        <v>269.16666666666669</v>
      </c>
      <c r="S99" s="373">
        <v>269.16666666666669</v>
      </c>
      <c r="T99" s="371">
        <v>269.16666666666669</v>
      </c>
      <c r="U99" s="372">
        <v>283.40579710144925</v>
      </c>
      <c r="V99" s="373">
        <v>283.40579710144925</v>
      </c>
      <c r="W99" s="371">
        <v>283.40579710144925</v>
      </c>
      <c r="X99" s="372">
        <v>280.10869565217394</v>
      </c>
      <c r="Y99" s="373">
        <v>280.10869565217394</v>
      </c>
      <c r="Z99" s="371">
        <v>280.10869565217394</v>
      </c>
      <c r="AA99" s="372">
        <v>542.72058823529414</v>
      </c>
      <c r="AB99" s="373">
        <v>542.72058823529414</v>
      </c>
      <c r="AC99" s="371">
        <v>542.72058823529414</v>
      </c>
      <c r="AD99" s="372">
        <v>278.94194440744013</v>
      </c>
      <c r="AE99" s="373">
        <v>278.94194440744013</v>
      </c>
      <c r="AF99" s="127">
        <v>278.94194440744013</v>
      </c>
    </row>
    <row r="100" spans="2:34" ht="14.45" hidden="1" customHeight="1" x14ac:dyDescent="0.25">
      <c r="B100" s="345" t="s">
        <v>271</v>
      </c>
      <c r="C100" s="129">
        <v>216.26111801242237</v>
      </c>
      <c r="D100" s="130">
        <v>216.26111801242237</v>
      </c>
      <c r="E100" s="131">
        <v>216.26111801242237</v>
      </c>
      <c r="F100" s="129">
        <v>466.98442359249339</v>
      </c>
      <c r="G100" s="130">
        <v>466.98442359249339</v>
      </c>
      <c r="H100" s="131">
        <v>466.98442359249339</v>
      </c>
      <c r="I100" s="129">
        <v>391.74060971019946</v>
      </c>
      <c r="J100" s="130">
        <v>391.74060971019946</v>
      </c>
      <c r="K100" s="131">
        <v>391.74060971019946</v>
      </c>
      <c r="L100" s="129">
        <v>316.72399671951882</v>
      </c>
      <c r="M100" s="130">
        <v>316.72399671951882</v>
      </c>
      <c r="N100" s="131">
        <v>316.72399671951882</v>
      </c>
      <c r="O100" s="129">
        <v>186.46341463414635</v>
      </c>
      <c r="P100" s="130">
        <v>186.46341463414635</v>
      </c>
      <c r="Q100" s="131">
        <v>186.46341463414635</v>
      </c>
      <c r="R100" s="129">
        <v>269.16666666666669</v>
      </c>
      <c r="S100" s="130">
        <v>269.16666666666669</v>
      </c>
      <c r="T100" s="131">
        <v>269.16666666666669</v>
      </c>
      <c r="U100" s="129">
        <v>283.40579710144925</v>
      </c>
      <c r="V100" s="130">
        <v>283.40579710144925</v>
      </c>
      <c r="W100" s="131">
        <v>283.40579710144925</v>
      </c>
      <c r="X100" s="129">
        <v>280.10869565217394</v>
      </c>
      <c r="Y100" s="130">
        <v>280.10869565217394</v>
      </c>
      <c r="Z100" s="131">
        <v>280.10869565217394</v>
      </c>
      <c r="AA100" s="129">
        <v>542.72058823529414</v>
      </c>
      <c r="AB100" s="130">
        <v>542.72058823529414</v>
      </c>
      <c r="AC100" s="131">
        <v>542.72058823529414</v>
      </c>
      <c r="AD100" s="129">
        <v>315.01951018310871</v>
      </c>
      <c r="AE100" s="130">
        <v>315.01951018310871</v>
      </c>
      <c r="AF100" s="127">
        <v>315.01951018310871</v>
      </c>
    </row>
    <row r="101" spans="2:34" ht="14.45" hidden="1" customHeight="1" x14ac:dyDescent="0.25">
      <c r="B101" s="345" t="s">
        <v>272</v>
      </c>
      <c r="C101" s="129">
        <v>216.26111801242237</v>
      </c>
      <c r="D101" s="130">
        <v>216.26111801242237</v>
      </c>
      <c r="E101" s="131">
        <v>216.26111801242237</v>
      </c>
      <c r="F101" s="129">
        <v>466.98442359249339</v>
      </c>
      <c r="G101" s="130">
        <v>466.98442359249339</v>
      </c>
      <c r="H101" s="131">
        <v>466.98442359249339</v>
      </c>
      <c r="I101" s="129">
        <v>391.74060971019946</v>
      </c>
      <c r="J101" s="130">
        <v>391.74060971019946</v>
      </c>
      <c r="K101" s="131">
        <v>391.74060971019946</v>
      </c>
      <c r="L101" s="129">
        <v>316.72399671951882</v>
      </c>
      <c r="M101" s="130">
        <v>316.72399671951882</v>
      </c>
      <c r="N101" s="131">
        <v>316.72399671951882</v>
      </c>
      <c r="O101" s="129">
        <v>186.46341463414635</v>
      </c>
      <c r="P101" s="130">
        <v>186.46341463414635</v>
      </c>
      <c r="Q101" s="131">
        <v>186.46341463414635</v>
      </c>
      <c r="R101" s="129">
        <v>269.16666666666669</v>
      </c>
      <c r="S101" s="130">
        <v>269.16666666666669</v>
      </c>
      <c r="T101" s="131">
        <v>269.16666666666669</v>
      </c>
      <c r="U101" s="129">
        <v>283.40579710144925</v>
      </c>
      <c r="V101" s="130">
        <v>283.40579710144925</v>
      </c>
      <c r="W101" s="131">
        <v>283.40579710144925</v>
      </c>
      <c r="X101" s="129">
        <v>280.10869565217394</v>
      </c>
      <c r="Y101" s="130">
        <v>280.10869565217394</v>
      </c>
      <c r="Z101" s="131">
        <v>280.10869565217394</v>
      </c>
      <c r="AA101" s="129">
        <v>542.72058823529414</v>
      </c>
      <c r="AB101" s="130">
        <v>542.72058823529414</v>
      </c>
      <c r="AC101" s="131">
        <v>542.72058823529414</v>
      </c>
      <c r="AD101" s="129">
        <v>216.26111801242237</v>
      </c>
      <c r="AE101" s="130">
        <v>216.26111801242237</v>
      </c>
      <c r="AF101" s="127">
        <v>216.26111801242237</v>
      </c>
    </row>
    <row r="102" spans="2:34" ht="14.45" hidden="1" customHeight="1" x14ac:dyDescent="0.25">
      <c r="B102" s="345" t="s">
        <v>273</v>
      </c>
      <c r="C102" s="129">
        <v>216.26111801242237</v>
      </c>
      <c r="D102" s="130">
        <v>216.26111801242237</v>
      </c>
      <c r="E102" s="131">
        <v>216.26111801242237</v>
      </c>
      <c r="F102" s="129">
        <v>466.98442359249339</v>
      </c>
      <c r="G102" s="130">
        <v>466.98442359249339</v>
      </c>
      <c r="H102" s="131">
        <v>466.98442359249339</v>
      </c>
      <c r="I102" s="129">
        <v>391.74060971019946</v>
      </c>
      <c r="J102" s="130">
        <v>391.74060971019946</v>
      </c>
      <c r="K102" s="131">
        <v>391.74060971019946</v>
      </c>
      <c r="L102" s="129">
        <v>316.72399671951882</v>
      </c>
      <c r="M102" s="130">
        <v>316.72399671951882</v>
      </c>
      <c r="N102" s="131">
        <v>316.72399671951882</v>
      </c>
      <c r="O102" s="129">
        <v>186.46341463414635</v>
      </c>
      <c r="P102" s="130">
        <v>186.46341463414635</v>
      </c>
      <c r="Q102" s="131">
        <v>186.46341463414635</v>
      </c>
      <c r="R102" s="129">
        <v>269.16666666666669</v>
      </c>
      <c r="S102" s="130">
        <v>269.16666666666669</v>
      </c>
      <c r="T102" s="131">
        <v>269.16666666666669</v>
      </c>
      <c r="U102" s="129">
        <v>283.40579710144925</v>
      </c>
      <c r="V102" s="130">
        <v>283.40579710144925</v>
      </c>
      <c r="W102" s="131">
        <v>283.40579710144925</v>
      </c>
      <c r="X102" s="129">
        <v>280.10869565217394</v>
      </c>
      <c r="Y102" s="130">
        <v>280.10869565217394</v>
      </c>
      <c r="Z102" s="131">
        <v>280.10869565217394</v>
      </c>
      <c r="AA102" s="129">
        <v>542.72058823529414</v>
      </c>
      <c r="AB102" s="130">
        <v>542.72058823529414</v>
      </c>
      <c r="AC102" s="131">
        <v>542.72058823529414</v>
      </c>
      <c r="AD102" s="129">
        <v>0</v>
      </c>
      <c r="AE102" s="130">
        <v>0</v>
      </c>
      <c r="AF102" s="127">
        <v>0</v>
      </c>
    </row>
    <row r="103" spans="2:34" ht="14.45" hidden="1" customHeight="1" x14ac:dyDescent="0.25">
      <c r="B103" s="345" t="s">
        <v>274</v>
      </c>
      <c r="C103" s="129">
        <v>216.26111801242237</v>
      </c>
      <c r="D103" s="130">
        <v>216.26111801242237</v>
      </c>
      <c r="E103" s="131">
        <v>216.26111801242237</v>
      </c>
      <c r="F103" s="129">
        <v>466.98442359249339</v>
      </c>
      <c r="G103" s="130">
        <v>466.98442359249339</v>
      </c>
      <c r="H103" s="131">
        <v>466.98442359249339</v>
      </c>
      <c r="I103" s="129">
        <v>391.74060971019946</v>
      </c>
      <c r="J103" s="130">
        <v>391.74060971019946</v>
      </c>
      <c r="K103" s="131">
        <v>391.74060971019946</v>
      </c>
      <c r="L103" s="129">
        <v>316.72399671951882</v>
      </c>
      <c r="M103" s="130">
        <v>316.72399671951882</v>
      </c>
      <c r="N103" s="131">
        <v>316.72399671951882</v>
      </c>
      <c r="O103" s="129">
        <v>186.46341463414635</v>
      </c>
      <c r="P103" s="130">
        <v>186.46341463414635</v>
      </c>
      <c r="Q103" s="131">
        <v>186.46341463414635</v>
      </c>
      <c r="R103" s="129">
        <v>269.16666666666669</v>
      </c>
      <c r="S103" s="130">
        <v>269.16666666666669</v>
      </c>
      <c r="T103" s="131">
        <v>269.16666666666669</v>
      </c>
      <c r="U103" s="129">
        <v>283.40579710144925</v>
      </c>
      <c r="V103" s="130">
        <v>283.40579710144925</v>
      </c>
      <c r="W103" s="131">
        <v>283.40579710144925</v>
      </c>
      <c r="X103" s="129">
        <v>280.10869565217394</v>
      </c>
      <c r="Y103" s="130">
        <v>280.10869565217394</v>
      </c>
      <c r="Z103" s="131">
        <v>280.10869565217394</v>
      </c>
      <c r="AA103" s="129">
        <v>542.72058823529414</v>
      </c>
      <c r="AB103" s="130">
        <v>542.72058823529414</v>
      </c>
      <c r="AC103" s="131">
        <v>542.72058823529414</v>
      </c>
      <c r="AD103" s="129">
        <v>0</v>
      </c>
      <c r="AE103" s="130">
        <v>0</v>
      </c>
      <c r="AF103" s="127">
        <v>0</v>
      </c>
    </row>
    <row r="104" spans="2:34" ht="15" hidden="1" customHeight="1" thickBot="1" x14ac:dyDescent="0.3">
      <c r="B104" s="346" t="s">
        <v>275</v>
      </c>
      <c r="C104" s="132">
        <v>216.26111801242237</v>
      </c>
      <c r="D104" s="133">
        <v>216.26111801242237</v>
      </c>
      <c r="E104" s="134">
        <v>216.26111801242237</v>
      </c>
      <c r="F104" s="132">
        <v>466.98442359249339</v>
      </c>
      <c r="G104" s="133">
        <v>466.98442359249339</v>
      </c>
      <c r="H104" s="134">
        <v>466.98442359249339</v>
      </c>
      <c r="I104" s="132">
        <v>391.74060971019946</v>
      </c>
      <c r="J104" s="133">
        <v>391.74060971019946</v>
      </c>
      <c r="K104" s="134">
        <v>391.74060971019946</v>
      </c>
      <c r="L104" s="132">
        <v>316.72399671951882</v>
      </c>
      <c r="M104" s="133">
        <v>316.72399671951882</v>
      </c>
      <c r="N104" s="134">
        <v>316.72399671951882</v>
      </c>
      <c r="O104" s="132">
        <v>186.46341463414635</v>
      </c>
      <c r="P104" s="133">
        <v>186.46341463414635</v>
      </c>
      <c r="Q104" s="134">
        <v>186.46341463414635</v>
      </c>
      <c r="R104" s="132">
        <v>269.16666666666669</v>
      </c>
      <c r="S104" s="133">
        <v>269.16666666666669</v>
      </c>
      <c r="T104" s="134">
        <v>269.16666666666669</v>
      </c>
      <c r="U104" s="132">
        <v>283.40579710144925</v>
      </c>
      <c r="V104" s="133">
        <v>283.40579710144925</v>
      </c>
      <c r="W104" s="134">
        <v>283.40579710144925</v>
      </c>
      <c r="X104" s="132">
        <v>280.10869565217394</v>
      </c>
      <c r="Y104" s="133">
        <v>280.10869565217394</v>
      </c>
      <c r="Z104" s="134">
        <v>280.10869565217394</v>
      </c>
      <c r="AA104" s="132">
        <v>542.72058823529414</v>
      </c>
      <c r="AB104" s="133">
        <v>542.72058823529414</v>
      </c>
      <c r="AC104" s="134">
        <v>542.72058823529414</v>
      </c>
      <c r="AD104" s="132">
        <v>316.72399671951877</v>
      </c>
      <c r="AE104" s="133">
        <v>316.72399671951877</v>
      </c>
      <c r="AF104" s="347">
        <v>316.72399671951877</v>
      </c>
    </row>
    <row r="105" spans="2:34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2:34" ht="15.75" thickBot="1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2:34" x14ac:dyDescent="0.25">
      <c r="B107" s="117" t="s">
        <v>281</v>
      </c>
      <c r="C107" s="119">
        <v>2009</v>
      </c>
      <c r="D107" s="120">
        <v>2009</v>
      </c>
      <c r="E107" s="613" t="s">
        <v>252</v>
      </c>
      <c r="F107" s="119">
        <v>2010</v>
      </c>
      <c r="G107" s="120">
        <v>2010</v>
      </c>
      <c r="H107" s="613" t="s">
        <v>253</v>
      </c>
      <c r="I107" s="119">
        <v>2011</v>
      </c>
      <c r="J107" s="120">
        <v>2011</v>
      </c>
      <c r="K107" s="613" t="s">
        <v>254</v>
      </c>
      <c r="L107" s="119">
        <v>2012</v>
      </c>
      <c r="M107" s="120">
        <v>2012</v>
      </c>
      <c r="N107" s="613" t="s">
        <v>255</v>
      </c>
      <c r="O107" s="119">
        <v>2013</v>
      </c>
      <c r="P107" s="120">
        <v>2013</v>
      </c>
      <c r="Q107" s="613" t="s">
        <v>256</v>
      </c>
      <c r="R107" s="119">
        <v>2014</v>
      </c>
      <c r="S107" s="120">
        <v>2014</v>
      </c>
      <c r="T107" s="613" t="s">
        <v>257</v>
      </c>
      <c r="U107" s="119">
        <v>2015</v>
      </c>
      <c r="V107" s="120">
        <v>2015</v>
      </c>
      <c r="W107" s="613" t="s">
        <v>258</v>
      </c>
      <c r="X107" s="119">
        <v>2016</v>
      </c>
      <c r="Y107" s="120">
        <v>2016</v>
      </c>
      <c r="Z107" s="613" t="s">
        <v>259</v>
      </c>
      <c r="AA107" s="119">
        <v>2017</v>
      </c>
      <c r="AB107" s="120">
        <v>2017</v>
      </c>
      <c r="AC107" s="613" t="s">
        <v>260</v>
      </c>
      <c r="AD107" s="611" t="s">
        <v>261</v>
      </c>
      <c r="AE107" s="612"/>
      <c r="AF107" s="607" t="s">
        <v>262</v>
      </c>
    </row>
    <row r="108" spans="2:34" ht="15.75" thickBot="1" x14ac:dyDescent="0.3">
      <c r="B108"/>
      <c r="C108" s="121" t="s">
        <v>83</v>
      </c>
      <c r="D108" s="122" t="s">
        <v>84</v>
      </c>
      <c r="E108" s="614"/>
      <c r="F108" s="121" t="s">
        <v>83</v>
      </c>
      <c r="G108" s="122" t="s">
        <v>84</v>
      </c>
      <c r="H108" s="614"/>
      <c r="I108" s="121" t="s">
        <v>83</v>
      </c>
      <c r="J108" s="122" t="s">
        <v>84</v>
      </c>
      <c r="K108" s="614"/>
      <c r="L108" s="121" t="s">
        <v>83</v>
      </c>
      <c r="M108" s="122" t="s">
        <v>84</v>
      </c>
      <c r="N108" s="614"/>
      <c r="O108" s="121" t="s">
        <v>83</v>
      </c>
      <c r="P108" s="122" t="s">
        <v>84</v>
      </c>
      <c r="Q108" s="614"/>
      <c r="R108" s="121" t="s">
        <v>83</v>
      </c>
      <c r="S108" s="122" t="s">
        <v>84</v>
      </c>
      <c r="T108" s="614"/>
      <c r="U108" s="121" t="s">
        <v>83</v>
      </c>
      <c r="V108" s="122" t="s">
        <v>84</v>
      </c>
      <c r="W108" s="614"/>
      <c r="X108" s="121" t="s">
        <v>83</v>
      </c>
      <c r="Y108" s="122" t="s">
        <v>84</v>
      </c>
      <c r="Z108" s="614"/>
      <c r="AA108" s="121" t="s">
        <v>83</v>
      </c>
      <c r="AB108" s="122" t="s">
        <v>84</v>
      </c>
      <c r="AC108" s="614"/>
      <c r="AD108" s="123" t="s">
        <v>83</v>
      </c>
      <c r="AE108" s="124" t="s">
        <v>84</v>
      </c>
      <c r="AF108" s="608" t="s">
        <v>191</v>
      </c>
    </row>
    <row r="109" spans="2:34" ht="15.75" thickBot="1" x14ac:dyDescent="0.3">
      <c r="B109" s="125" t="s">
        <v>264</v>
      </c>
      <c r="C109" s="135">
        <f>SUM(C110:C120)</f>
        <v>42282</v>
      </c>
      <c r="D109" s="135">
        <f t="shared" ref="D109:AC109" si="32">SUM(D110:D120)</f>
        <v>7603</v>
      </c>
      <c r="E109" s="135">
        <f t="shared" si="32"/>
        <v>49885</v>
      </c>
      <c r="F109" s="135">
        <f t="shared" si="32"/>
        <v>281720</v>
      </c>
      <c r="G109" s="135">
        <f t="shared" si="32"/>
        <v>186821</v>
      </c>
      <c r="H109" s="135">
        <f t="shared" si="32"/>
        <v>468541</v>
      </c>
      <c r="I109" s="135">
        <f t="shared" si="32"/>
        <v>854723</v>
      </c>
      <c r="J109" s="135">
        <f t="shared" si="32"/>
        <v>323131</v>
      </c>
      <c r="K109" s="135">
        <f t="shared" si="32"/>
        <v>1177854</v>
      </c>
      <c r="L109" s="135">
        <f t="shared" si="32"/>
        <v>411949</v>
      </c>
      <c r="M109" s="135">
        <f t="shared" si="32"/>
        <v>460995</v>
      </c>
      <c r="N109" s="135">
        <f t="shared" si="32"/>
        <v>872944</v>
      </c>
      <c r="O109" s="135">
        <f t="shared" si="32"/>
        <v>8143</v>
      </c>
      <c r="P109" s="135">
        <f t="shared" si="32"/>
        <v>5868</v>
      </c>
      <c r="Q109" s="135">
        <f t="shared" si="32"/>
        <v>14011</v>
      </c>
      <c r="R109" s="135">
        <f t="shared" si="32"/>
        <v>3952</v>
      </c>
      <c r="S109" s="135">
        <f t="shared" si="32"/>
        <v>2530</v>
      </c>
      <c r="T109" s="135">
        <f t="shared" si="32"/>
        <v>6482</v>
      </c>
      <c r="U109" s="135">
        <f t="shared" si="32"/>
        <v>12524</v>
      </c>
      <c r="V109" s="135">
        <f t="shared" si="32"/>
        <v>7441</v>
      </c>
      <c r="W109" s="135">
        <f t="shared" si="32"/>
        <v>19965</v>
      </c>
      <c r="X109" s="135">
        <f t="shared" si="32"/>
        <v>7314</v>
      </c>
      <c r="Y109" s="135">
        <f t="shared" si="32"/>
        <v>3437</v>
      </c>
      <c r="Z109" s="135">
        <f t="shared" si="32"/>
        <v>10751</v>
      </c>
      <c r="AA109" s="135">
        <f t="shared" si="32"/>
        <v>93002</v>
      </c>
      <c r="AB109" s="135">
        <f t="shared" si="32"/>
        <v>46837</v>
      </c>
      <c r="AC109" s="135">
        <f t="shared" si="32"/>
        <v>139839</v>
      </c>
      <c r="AD109" s="342">
        <v>1899737.8856161949</v>
      </c>
      <c r="AE109" s="343">
        <v>846024.43100660748</v>
      </c>
      <c r="AF109" s="344">
        <v>2745762.3166228025</v>
      </c>
      <c r="AH109" s="589"/>
    </row>
    <row r="110" spans="2:34" ht="16.5" thickTop="1" thickBot="1" x14ac:dyDescent="0.3">
      <c r="B110" s="126" t="s">
        <v>265</v>
      </c>
      <c r="C110" s="490">
        <v>21333</v>
      </c>
      <c r="D110" s="493">
        <v>4502</v>
      </c>
      <c r="E110" s="542">
        <f t="shared" ref="E110:E120" si="33">C110+D110</f>
        <v>25835</v>
      </c>
      <c r="F110" s="490">
        <v>2333</v>
      </c>
      <c r="G110" s="493">
        <v>203</v>
      </c>
      <c r="H110" s="542">
        <f t="shared" ref="H110:H120" si="34">F110+G110</f>
        <v>2536</v>
      </c>
      <c r="I110" s="490">
        <v>42303</v>
      </c>
      <c r="J110" s="493">
        <v>4556</v>
      </c>
      <c r="K110" s="542">
        <f t="shared" ref="K110:K120" si="35">I110+J110</f>
        <v>46859</v>
      </c>
      <c r="L110" s="490">
        <v>4505</v>
      </c>
      <c r="M110" s="493">
        <v>2003</v>
      </c>
      <c r="N110" s="542">
        <f t="shared" ref="N110:N120" si="36">L110+M110</f>
        <v>6508</v>
      </c>
      <c r="O110" s="490">
        <v>0</v>
      </c>
      <c r="P110" s="493">
        <v>0</v>
      </c>
      <c r="Q110" s="542">
        <f t="shared" ref="Q110:Q120" si="37">O110+P110</f>
        <v>0</v>
      </c>
      <c r="R110" s="490">
        <v>208</v>
      </c>
      <c r="S110" s="493">
        <v>66</v>
      </c>
      <c r="T110" s="542">
        <f t="shared" ref="T110:T120" si="38">R110+S110</f>
        <v>274</v>
      </c>
      <c r="U110" s="490">
        <v>0</v>
      </c>
      <c r="V110" s="493">
        <v>0</v>
      </c>
      <c r="W110" s="542">
        <f t="shared" ref="W110:W120" si="39">U110+V110</f>
        <v>0</v>
      </c>
      <c r="X110" s="490">
        <v>0</v>
      </c>
      <c r="Y110" s="493">
        <v>0</v>
      </c>
      <c r="Z110" s="542">
        <f t="shared" ref="Z110:Z120" si="40">X110+Y110</f>
        <v>0</v>
      </c>
      <c r="AA110" s="490">
        <v>0</v>
      </c>
      <c r="AB110" s="493">
        <v>0</v>
      </c>
      <c r="AC110" s="542">
        <f t="shared" ref="AC110:AC120" si="41">AA110+AB110</f>
        <v>0</v>
      </c>
      <c r="AD110" s="545">
        <f t="shared" ref="AD110:AE120" si="42">C110+F110+I110+L110+O110+R110+U110+X110+AA110</f>
        <v>70682</v>
      </c>
      <c r="AE110" s="546">
        <f t="shared" si="42"/>
        <v>11330</v>
      </c>
      <c r="AF110" s="543">
        <f t="shared" ref="AF110:AF120" si="43">AD110+AE110</f>
        <v>82012</v>
      </c>
      <c r="AG110" s="295"/>
    </row>
    <row r="111" spans="2:34" ht="16.5" thickTop="1" thickBot="1" x14ac:dyDescent="0.3">
      <c r="B111" s="128" t="s">
        <v>266</v>
      </c>
      <c r="C111" s="528">
        <v>0</v>
      </c>
      <c r="D111" s="529">
        <v>0</v>
      </c>
      <c r="E111" s="542">
        <f t="shared" si="33"/>
        <v>0</v>
      </c>
      <c r="F111" s="491">
        <v>21666</v>
      </c>
      <c r="G111" s="494">
        <v>13205</v>
      </c>
      <c r="H111" s="542">
        <f t="shared" si="34"/>
        <v>34871</v>
      </c>
      <c r="I111" s="491">
        <v>55200</v>
      </c>
      <c r="J111" s="494">
        <v>21555</v>
      </c>
      <c r="K111" s="542">
        <f t="shared" si="35"/>
        <v>76755</v>
      </c>
      <c r="L111" s="491">
        <v>14203</v>
      </c>
      <c r="M111" s="494">
        <v>5603</v>
      </c>
      <c r="N111" s="542">
        <f t="shared" si="36"/>
        <v>19806</v>
      </c>
      <c r="O111" s="491">
        <v>1405</v>
      </c>
      <c r="P111" s="494">
        <v>2005</v>
      </c>
      <c r="Q111" s="542">
        <f t="shared" si="37"/>
        <v>3410</v>
      </c>
      <c r="R111" s="491">
        <v>633</v>
      </c>
      <c r="S111" s="494">
        <v>455</v>
      </c>
      <c r="T111" s="542">
        <f t="shared" si="38"/>
        <v>1088</v>
      </c>
      <c r="U111" s="491">
        <v>1302</v>
      </c>
      <c r="V111" s="494">
        <v>1119</v>
      </c>
      <c r="W111" s="542">
        <f t="shared" si="39"/>
        <v>2421</v>
      </c>
      <c r="X111" s="491">
        <v>666</v>
      </c>
      <c r="Y111" s="494">
        <v>233</v>
      </c>
      <c r="Z111" s="542">
        <f t="shared" si="40"/>
        <v>899</v>
      </c>
      <c r="AA111" s="491">
        <v>1103</v>
      </c>
      <c r="AB111" s="494">
        <v>6302</v>
      </c>
      <c r="AC111" s="542">
        <f t="shared" si="41"/>
        <v>7405</v>
      </c>
      <c r="AD111" s="545">
        <f t="shared" si="42"/>
        <v>96178</v>
      </c>
      <c r="AE111" s="546">
        <f t="shared" si="42"/>
        <v>50477</v>
      </c>
      <c r="AF111" s="543">
        <f t="shared" si="43"/>
        <v>146655</v>
      </c>
      <c r="AG111" s="295"/>
    </row>
    <row r="112" spans="2:34" ht="16.5" thickTop="1" thickBot="1" x14ac:dyDescent="0.3">
      <c r="B112" s="128" t="s">
        <v>267</v>
      </c>
      <c r="C112" s="491">
        <v>563</v>
      </c>
      <c r="D112" s="494">
        <v>403</v>
      </c>
      <c r="E112" s="542">
        <f t="shared" si="33"/>
        <v>966</v>
      </c>
      <c r="F112" s="491">
        <v>122111</v>
      </c>
      <c r="G112" s="494">
        <v>22599</v>
      </c>
      <c r="H112" s="542">
        <f t="shared" si="34"/>
        <v>144710</v>
      </c>
      <c r="I112" s="491">
        <v>703566</v>
      </c>
      <c r="J112" s="494">
        <v>205777</v>
      </c>
      <c r="K112" s="542">
        <f t="shared" si="35"/>
        <v>909343</v>
      </c>
      <c r="L112" s="491">
        <v>305666</v>
      </c>
      <c r="M112" s="494">
        <v>401555</v>
      </c>
      <c r="N112" s="542">
        <f t="shared" si="36"/>
        <v>707221</v>
      </c>
      <c r="O112" s="491">
        <v>6333</v>
      </c>
      <c r="P112" s="494">
        <v>3655</v>
      </c>
      <c r="Q112" s="542">
        <f t="shared" si="37"/>
        <v>9988</v>
      </c>
      <c r="R112" s="491">
        <v>3111</v>
      </c>
      <c r="S112" s="494">
        <v>2009</v>
      </c>
      <c r="T112" s="542">
        <f t="shared" si="38"/>
        <v>5120</v>
      </c>
      <c r="U112" s="491">
        <v>11222</v>
      </c>
      <c r="V112" s="494">
        <v>6322</v>
      </c>
      <c r="W112" s="542">
        <f t="shared" si="39"/>
        <v>17544</v>
      </c>
      <c r="X112" s="491">
        <v>5893</v>
      </c>
      <c r="Y112" s="494">
        <v>3204</v>
      </c>
      <c r="Z112" s="542">
        <f t="shared" si="40"/>
        <v>9097</v>
      </c>
      <c r="AA112" s="491">
        <v>13566</v>
      </c>
      <c r="AB112" s="494">
        <v>7330</v>
      </c>
      <c r="AC112" s="542">
        <f t="shared" si="41"/>
        <v>20896</v>
      </c>
      <c r="AD112" s="545">
        <f t="shared" si="42"/>
        <v>1172031</v>
      </c>
      <c r="AE112" s="546">
        <f t="shared" si="42"/>
        <v>652854</v>
      </c>
      <c r="AF112" s="543">
        <f t="shared" si="43"/>
        <v>1824885</v>
      </c>
      <c r="AG112" s="295"/>
    </row>
    <row r="113" spans="2:33" ht="16.5" thickTop="1" thickBot="1" x14ac:dyDescent="0.3">
      <c r="B113" s="128" t="s">
        <v>268</v>
      </c>
      <c r="C113" s="491">
        <v>403</v>
      </c>
      <c r="D113" s="494">
        <v>0</v>
      </c>
      <c r="E113" s="542">
        <f t="shared" si="33"/>
        <v>403</v>
      </c>
      <c r="F113" s="491">
        <v>114506</v>
      </c>
      <c r="G113" s="494">
        <v>29603</v>
      </c>
      <c r="H113" s="542">
        <f t="shared" si="34"/>
        <v>144109</v>
      </c>
      <c r="I113" s="491">
        <v>40599</v>
      </c>
      <c r="J113" s="494">
        <v>89333</v>
      </c>
      <c r="K113" s="542">
        <f t="shared" si="35"/>
        <v>129932</v>
      </c>
      <c r="L113" s="491">
        <v>75866</v>
      </c>
      <c r="M113" s="494">
        <v>31566</v>
      </c>
      <c r="N113" s="542">
        <f t="shared" si="36"/>
        <v>107432</v>
      </c>
      <c r="O113" s="491">
        <v>405</v>
      </c>
      <c r="P113" s="494">
        <v>208</v>
      </c>
      <c r="Q113" s="542">
        <f t="shared" si="37"/>
        <v>613</v>
      </c>
      <c r="R113" s="528">
        <v>0</v>
      </c>
      <c r="S113" s="529">
        <v>0</v>
      </c>
      <c r="T113" s="542">
        <f t="shared" si="38"/>
        <v>0</v>
      </c>
      <c r="U113" s="528">
        <v>0</v>
      </c>
      <c r="V113" s="529">
        <v>0</v>
      </c>
      <c r="W113" s="542">
        <f t="shared" si="39"/>
        <v>0</v>
      </c>
      <c r="X113" s="491">
        <v>755</v>
      </c>
      <c r="Y113" s="529">
        <v>0</v>
      </c>
      <c r="Z113" s="542">
        <f t="shared" si="40"/>
        <v>755</v>
      </c>
      <c r="AA113" s="491">
        <v>78333</v>
      </c>
      <c r="AB113" s="494">
        <v>33205</v>
      </c>
      <c r="AC113" s="542">
        <f t="shared" si="41"/>
        <v>111538</v>
      </c>
      <c r="AD113" s="545">
        <f t="shared" si="42"/>
        <v>310867</v>
      </c>
      <c r="AE113" s="546">
        <f t="shared" si="42"/>
        <v>183915</v>
      </c>
      <c r="AF113" s="543">
        <f t="shared" si="43"/>
        <v>494782</v>
      </c>
      <c r="AG113" s="295"/>
    </row>
    <row r="114" spans="2:33" ht="16.5" thickTop="1" thickBot="1" x14ac:dyDescent="0.3">
      <c r="B114" s="128" t="s">
        <v>269</v>
      </c>
      <c r="C114" s="491">
        <v>2033</v>
      </c>
      <c r="D114" s="494">
        <v>188</v>
      </c>
      <c r="E114" s="542">
        <f t="shared" si="33"/>
        <v>2221</v>
      </c>
      <c r="F114" s="491">
        <v>7899</v>
      </c>
      <c r="G114" s="494">
        <v>2008</v>
      </c>
      <c r="H114" s="542">
        <f t="shared" si="34"/>
        <v>9907</v>
      </c>
      <c r="I114" s="491">
        <v>2033</v>
      </c>
      <c r="J114" s="494">
        <v>405</v>
      </c>
      <c r="K114" s="542">
        <f t="shared" si="35"/>
        <v>2438</v>
      </c>
      <c r="L114" s="528">
        <v>0</v>
      </c>
      <c r="M114" s="529">
        <v>0</v>
      </c>
      <c r="N114" s="542">
        <f t="shared" si="36"/>
        <v>0</v>
      </c>
      <c r="O114" s="528">
        <v>0</v>
      </c>
      <c r="P114" s="529">
        <v>0</v>
      </c>
      <c r="Q114" s="542">
        <f t="shared" si="37"/>
        <v>0</v>
      </c>
      <c r="R114" s="528">
        <v>0</v>
      </c>
      <c r="S114" s="529">
        <v>0</v>
      </c>
      <c r="T114" s="542">
        <f t="shared" si="38"/>
        <v>0</v>
      </c>
      <c r="U114" s="528">
        <v>0</v>
      </c>
      <c r="V114" s="529">
        <v>0</v>
      </c>
      <c r="W114" s="542">
        <f t="shared" si="39"/>
        <v>0</v>
      </c>
      <c r="X114" s="528">
        <v>0</v>
      </c>
      <c r="Y114" s="529">
        <v>0</v>
      </c>
      <c r="Z114" s="542">
        <f t="shared" si="40"/>
        <v>0</v>
      </c>
      <c r="AA114" s="528">
        <v>0</v>
      </c>
      <c r="AB114" s="529">
        <v>0</v>
      </c>
      <c r="AC114" s="542">
        <f t="shared" si="41"/>
        <v>0</v>
      </c>
      <c r="AD114" s="545">
        <f t="shared" si="42"/>
        <v>11965</v>
      </c>
      <c r="AE114" s="546">
        <f t="shared" si="42"/>
        <v>2601</v>
      </c>
      <c r="AF114" s="543">
        <f t="shared" si="43"/>
        <v>14566</v>
      </c>
      <c r="AG114" s="295"/>
    </row>
    <row r="115" spans="2:33" ht="16.5" thickTop="1" thickBot="1" x14ac:dyDescent="0.3">
      <c r="B115" s="345" t="s">
        <v>270</v>
      </c>
      <c r="C115" s="491">
        <v>3506</v>
      </c>
      <c r="D115" s="494">
        <v>0</v>
      </c>
      <c r="E115" s="542">
        <f t="shared" si="33"/>
        <v>3506</v>
      </c>
      <c r="F115" s="491">
        <v>2005</v>
      </c>
      <c r="G115" s="494">
        <v>0</v>
      </c>
      <c r="H115" s="542">
        <f t="shared" si="34"/>
        <v>2005</v>
      </c>
      <c r="I115" s="491">
        <v>0</v>
      </c>
      <c r="J115" s="494">
        <v>0</v>
      </c>
      <c r="K115" s="542">
        <f t="shared" si="35"/>
        <v>0</v>
      </c>
      <c r="L115" s="528">
        <v>0</v>
      </c>
      <c r="M115" s="529">
        <v>0</v>
      </c>
      <c r="N115" s="542">
        <f t="shared" si="36"/>
        <v>0</v>
      </c>
      <c r="O115" s="528">
        <v>0</v>
      </c>
      <c r="P115" s="529">
        <v>0</v>
      </c>
      <c r="Q115" s="542">
        <f t="shared" si="37"/>
        <v>0</v>
      </c>
      <c r="R115" s="528">
        <v>0</v>
      </c>
      <c r="S115" s="529">
        <v>0</v>
      </c>
      <c r="T115" s="542">
        <f t="shared" si="38"/>
        <v>0</v>
      </c>
      <c r="U115" s="528">
        <v>0</v>
      </c>
      <c r="V115" s="529">
        <v>0</v>
      </c>
      <c r="W115" s="542">
        <f t="shared" si="39"/>
        <v>0</v>
      </c>
      <c r="X115" s="528">
        <v>0</v>
      </c>
      <c r="Y115" s="529">
        <v>0</v>
      </c>
      <c r="Z115" s="542">
        <f t="shared" si="40"/>
        <v>0</v>
      </c>
      <c r="AA115" s="528">
        <v>0</v>
      </c>
      <c r="AB115" s="529">
        <v>0</v>
      </c>
      <c r="AC115" s="542">
        <f t="shared" si="41"/>
        <v>0</v>
      </c>
      <c r="AD115" s="545">
        <f t="shared" si="42"/>
        <v>5511</v>
      </c>
      <c r="AE115" s="546">
        <f t="shared" si="42"/>
        <v>0</v>
      </c>
      <c r="AF115" s="543">
        <f t="shared" si="43"/>
        <v>5511</v>
      </c>
      <c r="AG115" s="295"/>
    </row>
    <row r="116" spans="2:33" ht="16.5" thickTop="1" thickBot="1" x14ac:dyDescent="0.3">
      <c r="B116" s="345" t="s">
        <v>271</v>
      </c>
      <c r="C116" s="491">
        <v>12333</v>
      </c>
      <c r="D116" s="494">
        <v>2055</v>
      </c>
      <c r="E116" s="542">
        <f t="shared" si="33"/>
        <v>14388</v>
      </c>
      <c r="F116" s="491">
        <v>11200</v>
      </c>
      <c r="G116" s="494">
        <v>119203</v>
      </c>
      <c r="H116" s="542">
        <f t="shared" si="34"/>
        <v>130403</v>
      </c>
      <c r="I116" s="491">
        <v>11022</v>
      </c>
      <c r="J116" s="494">
        <v>1505</v>
      </c>
      <c r="K116" s="542">
        <f t="shared" si="35"/>
        <v>12527</v>
      </c>
      <c r="L116" s="491">
        <v>203</v>
      </c>
      <c r="M116" s="494">
        <v>405</v>
      </c>
      <c r="N116" s="542">
        <f t="shared" si="36"/>
        <v>608</v>
      </c>
      <c r="O116" s="528">
        <v>0</v>
      </c>
      <c r="P116" s="529">
        <v>0</v>
      </c>
      <c r="Q116" s="542">
        <f t="shared" si="37"/>
        <v>0</v>
      </c>
      <c r="R116" s="528">
        <v>0</v>
      </c>
      <c r="S116" s="529">
        <v>0</v>
      </c>
      <c r="T116" s="542">
        <f t="shared" si="38"/>
        <v>0</v>
      </c>
      <c r="U116" s="528">
        <v>0</v>
      </c>
      <c r="V116" s="529">
        <v>0</v>
      </c>
      <c r="W116" s="542">
        <f t="shared" si="39"/>
        <v>0</v>
      </c>
      <c r="X116" s="528">
        <v>0</v>
      </c>
      <c r="Y116" s="529">
        <v>0</v>
      </c>
      <c r="Z116" s="542">
        <f t="shared" si="40"/>
        <v>0</v>
      </c>
      <c r="AA116" s="528">
        <v>0</v>
      </c>
      <c r="AB116" s="529">
        <v>0</v>
      </c>
      <c r="AC116" s="542">
        <f t="shared" si="41"/>
        <v>0</v>
      </c>
      <c r="AD116" s="545">
        <f t="shared" si="42"/>
        <v>34758</v>
      </c>
      <c r="AE116" s="546">
        <f t="shared" si="42"/>
        <v>123168</v>
      </c>
      <c r="AF116" s="543">
        <f t="shared" si="43"/>
        <v>157926</v>
      </c>
      <c r="AG116" s="295"/>
    </row>
    <row r="117" spans="2:33" ht="16.5" thickTop="1" thickBot="1" x14ac:dyDescent="0.3">
      <c r="B117" s="345" t="s">
        <v>272</v>
      </c>
      <c r="C117" s="491">
        <v>2111</v>
      </c>
      <c r="D117" s="494">
        <v>455</v>
      </c>
      <c r="E117" s="542">
        <f t="shared" si="33"/>
        <v>2566</v>
      </c>
      <c r="F117" s="528">
        <v>0</v>
      </c>
      <c r="G117" s="529">
        <v>0</v>
      </c>
      <c r="H117" s="542">
        <f t="shared" si="34"/>
        <v>0</v>
      </c>
      <c r="I117" s="528">
        <v>0</v>
      </c>
      <c r="J117" s="529">
        <v>0</v>
      </c>
      <c r="K117" s="542">
        <f t="shared" si="35"/>
        <v>0</v>
      </c>
      <c r="L117" s="528">
        <v>0</v>
      </c>
      <c r="M117" s="529">
        <v>0</v>
      </c>
      <c r="N117" s="542">
        <f t="shared" si="36"/>
        <v>0</v>
      </c>
      <c r="O117" s="528">
        <v>0</v>
      </c>
      <c r="P117" s="529">
        <v>0</v>
      </c>
      <c r="Q117" s="542">
        <f t="shared" si="37"/>
        <v>0</v>
      </c>
      <c r="R117" s="528">
        <v>0</v>
      </c>
      <c r="S117" s="529">
        <v>0</v>
      </c>
      <c r="T117" s="542">
        <f t="shared" si="38"/>
        <v>0</v>
      </c>
      <c r="U117" s="528">
        <v>0</v>
      </c>
      <c r="V117" s="529">
        <v>0</v>
      </c>
      <c r="W117" s="542">
        <f t="shared" si="39"/>
        <v>0</v>
      </c>
      <c r="X117" s="528">
        <v>0</v>
      </c>
      <c r="Y117" s="529">
        <v>0</v>
      </c>
      <c r="Z117" s="542">
        <f t="shared" si="40"/>
        <v>0</v>
      </c>
      <c r="AA117" s="528">
        <v>0</v>
      </c>
      <c r="AB117" s="529">
        <v>0</v>
      </c>
      <c r="AC117" s="542">
        <f t="shared" si="41"/>
        <v>0</v>
      </c>
      <c r="AD117" s="545">
        <f t="shared" si="42"/>
        <v>2111</v>
      </c>
      <c r="AE117" s="546">
        <f t="shared" si="42"/>
        <v>455</v>
      </c>
      <c r="AF117" s="543">
        <f t="shared" si="43"/>
        <v>2566</v>
      </c>
      <c r="AG117" s="295"/>
    </row>
    <row r="118" spans="2:33" ht="16.5" thickTop="1" thickBot="1" x14ac:dyDescent="0.3">
      <c r="B118" s="345" t="s">
        <v>273</v>
      </c>
      <c r="C118" s="528">
        <v>0</v>
      </c>
      <c r="D118" s="529">
        <v>0</v>
      </c>
      <c r="E118" s="542">
        <f t="shared" si="33"/>
        <v>0</v>
      </c>
      <c r="F118" s="528">
        <v>0</v>
      </c>
      <c r="G118" s="529">
        <v>0</v>
      </c>
      <c r="H118" s="542">
        <f t="shared" si="34"/>
        <v>0</v>
      </c>
      <c r="I118" s="528">
        <v>0</v>
      </c>
      <c r="J118" s="529">
        <v>0</v>
      </c>
      <c r="K118" s="542">
        <f t="shared" si="35"/>
        <v>0</v>
      </c>
      <c r="L118" s="528">
        <v>0</v>
      </c>
      <c r="M118" s="529">
        <v>0</v>
      </c>
      <c r="N118" s="542">
        <f t="shared" si="36"/>
        <v>0</v>
      </c>
      <c r="O118" s="528">
        <v>0</v>
      </c>
      <c r="P118" s="529">
        <v>0</v>
      </c>
      <c r="Q118" s="542">
        <f t="shared" si="37"/>
        <v>0</v>
      </c>
      <c r="R118" s="528">
        <v>0</v>
      </c>
      <c r="S118" s="529">
        <v>0</v>
      </c>
      <c r="T118" s="542">
        <f t="shared" si="38"/>
        <v>0</v>
      </c>
      <c r="U118" s="528">
        <v>0</v>
      </c>
      <c r="V118" s="529">
        <v>0</v>
      </c>
      <c r="W118" s="542">
        <f t="shared" si="39"/>
        <v>0</v>
      </c>
      <c r="X118" s="528">
        <v>0</v>
      </c>
      <c r="Y118" s="529">
        <v>0</v>
      </c>
      <c r="Z118" s="542">
        <f t="shared" si="40"/>
        <v>0</v>
      </c>
      <c r="AA118" s="528">
        <v>0</v>
      </c>
      <c r="AB118" s="529">
        <v>0</v>
      </c>
      <c r="AC118" s="542">
        <f t="shared" si="41"/>
        <v>0</v>
      </c>
      <c r="AD118" s="545">
        <f t="shared" si="42"/>
        <v>0</v>
      </c>
      <c r="AE118" s="546">
        <f t="shared" si="42"/>
        <v>0</v>
      </c>
      <c r="AF118" s="543">
        <f t="shared" si="43"/>
        <v>0</v>
      </c>
      <c r="AG118" s="295"/>
    </row>
    <row r="119" spans="2:33" ht="16.5" thickTop="1" thickBot="1" x14ac:dyDescent="0.3">
      <c r="B119" s="345" t="s">
        <v>274</v>
      </c>
      <c r="C119" s="528">
        <v>0</v>
      </c>
      <c r="D119" s="529">
        <v>0</v>
      </c>
      <c r="E119" s="542">
        <f t="shared" si="33"/>
        <v>0</v>
      </c>
      <c r="F119" s="528">
        <v>0</v>
      </c>
      <c r="G119" s="529">
        <v>0</v>
      </c>
      <c r="H119" s="542">
        <f t="shared" si="34"/>
        <v>0</v>
      </c>
      <c r="I119" s="528">
        <v>0</v>
      </c>
      <c r="J119" s="529">
        <v>0</v>
      </c>
      <c r="K119" s="542">
        <f t="shared" si="35"/>
        <v>0</v>
      </c>
      <c r="L119" s="528">
        <v>0</v>
      </c>
      <c r="M119" s="529">
        <v>0</v>
      </c>
      <c r="N119" s="542">
        <f t="shared" si="36"/>
        <v>0</v>
      </c>
      <c r="O119" s="528">
        <v>0</v>
      </c>
      <c r="P119" s="529">
        <v>0</v>
      </c>
      <c r="Q119" s="542">
        <f t="shared" si="37"/>
        <v>0</v>
      </c>
      <c r="R119" s="528">
        <v>0</v>
      </c>
      <c r="S119" s="529">
        <v>0</v>
      </c>
      <c r="T119" s="542">
        <f t="shared" si="38"/>
        <v>0</v>
      </c>
      <c r="U119" s="528">
        <v>0</v>
      </c>
      <c r="V119" s="529">
        <v>0</v>
      </c>
      <c r="W119" s="542">
        <f t="shared" si="39"/>
        <v>0</v>
      </c>
      <c r="X119" s="528">
        <v>0</v>
      </c>
      <c r="Y119" s="529">
        <v>0</v>
      </c>
      <c r="Z119" s="542">
        <f t="shared" si="40"/>
        <v>0</v>
      </c>
      <c r="AA119" s="528">
        <v>0</v>
      </c>
      <c r="AB119" s="529">
        <v>0</v>
      </c>
      <c r="AC119" s="542">
        <f t="shared" si="41"/>
        <v>0</v>
      </c>
      <c r="AD119" s="545">
        <f t="shared" si="42"/>
        <v>0</v>
      </c>
      <c r="AE119" s="546">
        <f t="shared" si="42"/>
        <v>0</v>
      </c>
      <c r="AF119" s="543">
        <f t="shared" si="43"/>
        <v>0</v>
      </c>
      <c r="AG119" s="295"/>
    </row>
    <row r="120" spans="2:33" ht="16.5" thickTop="1" thickBot="1" x14ac:dyDescent="0.3">
      <c r="B120" s="346" t="s">
        <v>275</v>
      </c>
      <c r="C120" s="530">
        <v>0</v>
      </c>
      <c r="D120" s="531">
        <v>0</v>
      </c>
      <c r="E120" s="542">
        <f t="shared" si="33"/>
        <v>0</v>
      </c>
      <c r="F120" s="530">
        <v>0</v>
      </c>
      <c r="G120" s="531">
        <v>0</v>
      </c>
      <c r="H120" s="542">
        <f t="shared" si="34"/>
        <v>0</v>
      </c>
      <c r="I120" s="530">
        <v>0</v>
      </c>
      <c r="J120" s="531">
        <v>0</v>
      </c>
      <c r="K120" s="542">
        <f t="shared" si="35"/>
        <v>0</v>
      </c>
      <c r="L120" s="502">
        <v>11506</v>
      </c>
      <c r="M120" s="504">
        <v>19863</v>
      </c>
      <c r="N120" s="542">
        <f t="shared" si="36"/>
        <v>31369</v>
      </c>
      <c r="O120" s="530">
        <v>0</v>
      </c>
      <c r="P120" s="531">
        <v>0</v>
      </c>
      <c r="Q120" s="542">
        <f t="shared" si="37"/>
        <v>0</v>
      </c>
      <c r="R120" s="530">
        <v>0</v>
      </c>
      <c r="S120" s="531">
        <v>0</v>
      </c>
      <c r="T120" s="542">
        <f t="shared" si="38"/>
        <v>0</v>
      </c>
      <c r="U120" s="530">
        <v>0</v>
      </c>
      <c r="V120" s="531">
        <v>0</v>
      </c>
      <c r="W120" s="542">
        <f t="shared" si="39"/>
        <v>0</v>
      </c>
      <c r="X120" s="530">
        <v>0</v>
      </c>
      <c r="Y120" s="531">
        <v>0</v>
      </c>
      <c r="Z120" s="542">
        <f t="shared" si="40"/>
        <v>0</v>
      </c>
      <c r="AA120" s="530">
        <v>0</v>
      </c>
      <c r="AB120" s="531">
        <v>0</v>
      </c>
      <c r="AC120" s="542">
        <f t="shared" si="41"/>
        <v>0</v>
      </c>
      <c r="AD120" s="545">
        <f t="shared" si="42"/>
        <v>11506</v>
      </c>
      <c r="AE120" s="546">
        <f t="shared" si="42"/>
        <v>19863</v>
      </c>
      <c r="AF120" s="543">
        <f t="shared" si="43"/>
        <v>31369</v>
      </c>
      <c r="AG120" s="295">
        <f t="shared" ref="AG120" si="44">C120+F120+I120+O120+R120+U120+X120+AA120</f>
        <v>0</v>
      </c>
    </row>
    <row r="121" spans="2:33" ht="15.75" thickTop="1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2:33" ht="15.75" thickBot="1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2:33" x14ac:dyDescent="0.25">
      <c r="B123" s="118" t="s">
        <v>282</v>
      </c>
      <c r="C123" s="119">
        <v>2009</v>
      </c>
      <c r="D123" s="120">
        <v>2009</v>
      </c>
      <c r="E123" s="613" t="s">
        <v>252</v>
      </c>
      <c r="F123" s="119">
        <v>2010</v>
      </c>
      <c r="G123" s="120">
        <v>2010</v>
      </c>
      <c r="H123" s="613" t="s">
        <v>253</v>
      </c>
      <c r="I123" s="119">
        <v>2011</v>
      </c>
      <c r="J123" s="120">
        <v>2011</v>
      </c>
      <c r="K123" s="613" t="s">
        <v>254</v>
      </c>
      <c r="L123" s="119">
        <v>2012</v>
      </c>
      <c r="M123" s="120">
        <v>2012</v>
      </c>
      <c r="N123" s="613" t="s">
        <v>255</v>
      </c>
      <c r="O123" s="119">
        <v>2013</v>
      </c>
      <c r="P123" s="120">
        <v>2013</v>
      </c>
      <c r="Q123" s="613" t="s">
        <v>256</v>
      </c>
      <c r="R123" s="119">
        <v>2014</v>
      </c>
      <c r="S123" s="120">
        <v>2014</v>
      </c>
      <c r="T123" s="613" t="s">
        <v>257</v>
      </c>
      <c r="U123" s="119">
        <v>2015</v>
      </c>
      <c r="V123" s="120">
        <v>2015</v>
      </c>
      <c r="W123" s="613" t="s">
        <v>258</v>
      </c>
      <c r="X123" s="119">
        <v>2016</v>
      </c>
      <c r="Y123" s="120">
        <v>2016</v>
      </c>
      <c r="Z123" s="613" t="s">
        <v>259</v>
      </c>
      <c r="AA123" s="119">
        <v>2017</v>
      </c>
      <c r="AB123" s="120">
        <v>2017</v>
      </c>
      <c r="AC123" s="613" t="s">
        <v>260</v>
      </c>
      <c r="AD123" s="611" t="s">
        <v>261</v>
      </c>
      <c r="AE123" s="612"/>
      <c r="AF123" s="607" t="s">
        <v>262</v>
      </c>
    </row>
    <row r="124" spans="2:33" ht="15.75" thickBot="1" x14ac:dyDescent="0.3">
      <c r="B124"/>
      <c r="C124" s="121" t="s">
        <v>83</v>
      </c>
      <c r="D124" s="122" t="s">
        <v>84</v>
      </c>
      <c r="E124" s="614"/>
      <c r="F124" s="121" t="s">
        <v>83</v>
      </c>
      <c r="G124" s="122" t="s">
        <v>84</v>
      </c>
      <c r="H124" s="614"/>
      <c r="I124" s="121" t="s">
        <v>83</v>
      </c>
      <c r="J124" s="122" t="s">
        <v>84</v>
      </c>
      <c r="K124" s="614"/>
      <c r="L124" s="121" t="s">
        <v>83</v>
      </c>
      <c r="M124" s="122" t="s">
        <v>84</v>
      </c>
      <c r="N124" s="614"/>
      <c r="O124" s="121" t="s">
        <v>83</v>
      </c>
      <c r="P124" s="122" t="s">
        <v>84</v>
      </c>
      <c r="Q124" s="614"/>
      <c r="R124" s="121" t="s">
        <v>83</v>
      </c>
      <c r="S124" s="122" t="s">
        <v>84</v>
      </c>
      <c r="T124" s="614"/>
      <c r="U124" s="121" t="s">
        <v>83</v>
      </c>
      <c r="V124" s="122" t="s">
        <v>84</v>
      </c>
      <c r="W124" s="614"/>
      <c r="X124" s="121" t="s">
        <v>83</v>
      </c>
      <c r="Y124" s="122" t="s">
        <v>84</v>
      </c>
      <c r="Z124" s="614"/>
      <c r="AA124" s="121" t="s">
        <v>83</v>
      </c>
      <c r="AB124" s="122" t="s">
        <v>84</v>
      </c>
      <c r="AC124" s="614"/>
      <c r="AD124" s="123" t="s">
        <v>83</v>
      </c>
      <c r="AE124" s="124" t="s">
        <v>84</v>
      </c>
      <c r="AF124" s="608" t="s">
        <v>191</v>
      </c>
    </row>
    <row r="125" spans="2:33" ht="15.75" thickBot="1" x14ac:dyDescent="0.3">
      <c r="B125" s="125" t="s">
        <v>264</v>
      </c>
      <c r="C125" s="515">
        <v>13.88</v>
      </c>
      <c r="D125" s="516">
        <v>16.52</v>
      </c>
      <c r="E125" s="560">
        <v>15.66</v>
      </c>
      <c r="F125" s="515">
        <v>106.33</v>
      </c>
      <c r="G125" s="516">
        <v>106.45</v>
      </c>
      <c r="H125" s="560">
        <v>102.33</v>
      </c>
      <c r="I125" s="515">
        <v>63.77</v>
      </c>
      <c r="J125" s="516">
        <v>64.45</v>
      </c>
      <c r="K125" s="560">
        <v>64.55</v>
      </c>
      <c r="L125" s="515">
        <v>81.41</v>
      </c>
      <c r="M125" s="516">
        <v>80.459999999999994</v>
      </c>
      <c r="N125" s="560">
        <v>80.45</v>
      </c>
      <c r="O125" s="515">
        <v>81.33</v>
      </c>
      <c r="P125" s="516">
        <v>79.55</v>
      </c>
      <c r="Q125" s="560">
        <v>69.33</v>
      </c>
      <c r="R125" s="515">
        <v>48.22</v>
      </c>
      <c r="S125" s="516">
        <v>68.11</v>
      </c>
      <c r="T125" s="560">
        <v>44.33</v>
      </c>
      <c r="U125" s="515">
        <v>93.55</v>
      </c>
      <c r="V125" s="516">
        <v>92.55</v>
      </c>
      <c r="W125" s="560">
        <v>44.66</v>
      </c>
      <c r="X125" s="515">
        <v>68.989999999999995</v>
      </c>
      <c r="Y125" s="516">
        <v>92.15</v>
      </c>
      <c r="Z125" s="560">
        <v>89.17</v>
      </c>
      <c r="AA125" s="515">
        <v>79.33</v>
      </c>
      <c r="AB125" s="516">
        <v>85.66</v>
      </c>
      <c r="AC125" s="560">
        <v>91.47</v>
      </c>
      <c r="AD125" s="561">
        <f>C125+F125+I125+L125+O125+R125+U125++X125</f>
        <v>557.4799999999999</v>
      </c>
      <c r="AE125" s="562">
        <f>D125+G125+J125+M125+P125+S125+V125+Y125</f>
        <v>600.24</v>
      </c>
      <c r="AF125" s="519">
        <f>AD125+AE125</f>
        <v>1157.7199999999998</v>
      </c>
    </row>
    <row r="126" spans="2:33" ht="16.5" thickTop="1" thickBot="1" x14ac:dyDescent="0.3">
      <c r="B126" s="126" t="s">
        <v>265</v>
      </c>
      <c r="C126" s="551">
        <v>0</v>
      </c>
      <c r="D126" s="552">
        <v>0</v>
      </c>
      <c r="E126" s="553">
        <v>0</v>
      </c>
      <c r="F126" s="551">
        <v>0</v>
      </c>
      <c r="G126" s="552">
        <v>0</v>
      </c>
      <c r="H126" s="553">
        <v>0</v>
      </c>
      <c r="I126" s="551">
        <v>0</v>
      </c>
      <c r="J126" s="552">
        <v>0</v>
      </c>
      <c r="K126" s="553">
        <v>0</v>
      </c>
      <c r="L126" s="551">
        <v>0</v>
      </c>
      <c r="M126" s="552">
        <v>0</v>
      </c>
      <c r="N126" s="553">
        <v>0</v>
      </c>
      <c r="O126" s="547">
        <v>0</v>
      </c>
      <c r="P126" s="548">
        <v>0</v>
      </c>
      <c r="Q126" s="553">
        <v>0</v>
      </c>
      <c r="R126" s="547">
        <v>0</v>
      </c>
      <c r="S126" s="548">
        <v>0</v>
      </c>
      <c r="T126" s="553">
        <v>0</v>
      </c>
      <c r="U126" s="547">
        <v>0</v>
      </c>
      <c r="V126" s="548">
        <v>0</v>
      </c>
      <c r="W126" s="553">
        <v>0</v>
      </c>
      <c r="X126" s="547">
        <v>0</v>
      </c>
      <c r="Y126" s="548">
        <v>0</v>
      </c>
      <c r="Z126" s="553">
        <v>0</v>
      </c>
      <c r="AA126" s="547">
        <v>0</v>
      </c>
      <c r="AB126" s="548">
        <v>0</v>
      </c>
      <c r="AC126" s="553">
        <v>0</v>
      </c>
      <c r="AD126" s="561">
        <f t="shared" ref="AD126:AD136" si="45">C126+F126+I126+L126+O126+R126+U126++X126</f>
        <v>0</v>
      </c>
      <c r="AE126" s="562">
        <f t="shared" ref="AE126:AE136" si="46">D126+G126+J126+M126+P126+S126+V126+Y126</f>
        <v>0</v>
      </c>
      <c r="AF126" s="519">
        <f t="shared" ref="AF126:AF136" si="47">AD126+AE126</f>
        <v>0</v>
      </c>
    </row>
    <row r="127" spans="2:33" ht="16.5" thickTop="1" thickBot="1" x14ac:dyDescent="0.3">
      <c r="B127" s="128" t="s">
        <v>266</v>
      </c>
      <c r="C127" s="554">
        <v>0</v>
      </c>
      <c r="D127" s="555">
        <v>0</v>
      </c>
      <c r="E127" s="556">
        <v>0</v>
      </c>
      <c r="F127" s="517">
        <v>87.33</v>
      </c>
      <c r="G127" s="549">
        <v>87.33</v>
      </c>
      <c r="H127" s="556">
        <v>87.33</v>
      </c>
      <c r="I127" s="517">
        <v>83.05</v>
      </c>
      <c r="J127" s="549">
        <v>83.05</v>
      </c>
      <c r="K127" s="556">
        <v>83.05</v>
      </c>
      <c r="L127" s="517">
        <v>33.549999999999997</v>
      </c>
      <c r="M127" s="549">
        <v>33.549999999999997</v>
      </c>
      <c r="N127" s="556">
        <v>33.549999999999997</v>
      </c>
      <c r="O127" s="517">
        <v>45.33</v>
      </c>
      <c r="P127" s="549">
        <v>45.33</v>
      </c>
      <c r="Q127" s="556">
        <v>45.33</v>
      </c>
      <c r="R127" s="517">
        <v>55.22</v>
      </c>
      <c r="S127" s="549">
        <v>55.22</v>
      </c>
      <c r="T127" s="556">
        <v>55.22</v>
      </c>
      <c r="U127" s="517">
        <v>44.13</v>
      </c>
      <c r="V127" s="549">
        <v>44.13</v>
      </c>
      <c r="W127" s="556">
        <v>44.13</v>
      </c>
      <c r="X127" s="517">
        <v>43.27</v>
      </c>
      <c r="Y127" s="549">
        <v>43.27</v>
      </c>
      <c r="Z127" s="556">
        <v>43.27</v>
      </c>
      <c r="AA127" s="517">
        <v>41.33</v>
      </c>
      <c r="AB127" s="549">
        <v>41.33</v>
      </c>
      <c r="AC127" s="556">
        <v>41.33</v>
      </c>
      <c r="AD127" s="561">
        <f t="shared" si="45"/>
        <v>391.88</v>
      </c>
      <c r="AE127" s="562">
        <f t="shared" si="46"/>
        <v>391.88</v>
      </c>
      <c r="AF127" s="519">
        <f t="shared" si="47"/>
        <v>783.76</v>
      </c>
      <c r="AG127" s="298"/>
    </row>
    <row r="128" spans="2:33" ht="16.5" thickTop="1" thickBot="1" x14ac:dyDescent="0.3">
      <c r="B128" s="128" t="s">
        <v>267</v>
      </c>
      <c r="C128" s="517">
        <v>166.03</v>
      </c>
      <c r="D128" s="549">
        <v>166.03</v>
      </c>
      <c r="E128" s="556">
        <v>166.03</v>
      </c>
      <c r="F128" s="517">
        <v>103.55</v>
      </c>
      <c r="G128" s="549">
        <v>103.55</v>
      </c>
      <c r="H128" s="556">
        <v>103.55</v>
      </c>
      <c r="I128" s="517">
        <v>77.22</v>
      </c>
      <c r="J128" s="549">
        <v>77.22</v>
      </c>
      <c r="K128" s="556">
        <v>77.22</v>
      </c>
      <c r="L128" s="517">
        <v>78.45</v>
      </c>
      <c r="M128" s="549">
        <v>78.45</v>
      </c>
      <c r="N128" s="556">
        <v>78.45</v>
      </c>
      <c r="O128" s="517">
        <v>68.150000000000006</v>
      </c>
      <c r="P128" s="549">
        <v>68.150000000000006</v>
      </c>
      <c r="Q128" s="556">
        <v>68.150000000000006</v>
      </c>
      <c r="R128" s="517">
        <v>68.55</v>
      </c>
      <c r="S128" s="549">
        <v>68.55</v>
      </c>
      <c r="T128" s="556">
        <v>68.55</v>
      </c>
      <c r="U128" s="517">
        <v>78.22</v>
      </c>
      <c r="V128" s="549">
        <v>78.22</v>
      </c>
      <c r="W128" s="556">
        <v>78.22</v>
      </c>
      <c r="X128" s="517">
        <v>68.55</v>
      </c>
      <c r="Y128" s="549">
        <v>68.55</v>
      </c>
      <c r="Z128" s="556">
        <v>68.55</v>
      </c>
      <c r="AA128" s="517">
        <v>81.99</v>
      </c>
      <c r="AB128" s="549">
        <v>81.99</v>
      </c>
      <c r="AC128" s="556">
        <v>81.99</v>
      </c>
      <c r="AD128" s="561">
        <f t="shared" si="45"/>
        <v>708.71999999999991</v>
      </c>
      <c r="AE128" s="562">
        <f t="shared" si="46"/>
        <v>708.71999999999991</v>
      </c>
      <c r="AF128" s="519">
        <f t="shared" si="47"/>
        <v>1417.4399999999998</v>
      </c>
    </row>
    <row r="129" spans="2:32" ht="16.5" thickTop="1" thickBot="1" x14ac:dyDescent="0.3">
      <c r="B129" s="128" t="s">
        <v>268</v>
      </c>
      <c r="C129" s="517">
        <v>178.33</v>
      </c>
      <c r="D129" s="555">
        <v>0</v>
      </c>
      <c r="E129" s="556">
        <v>178.33</v>
      </c>
      <c r="F129" s="517">
        <v>132.15</v>
      </c>
      <c r="G129" s="549">
        <v>132.15</v>
      </c>
      <c r="H129" s="556">
        <v>132.15</v>
      </c>
      <c r="I129" s="517">
        <v>101.05</v>
      </c>
      <c r="J129" s="549">
        <v>105.05</v>
      </c>
      <c r="K129" s="556">
        <v>105.05</v>
      </c>
      <c r="L129" s="517">
        <v>83.66</v>
      </c>
      <c r="M129" s="549">
        <v>83.66</v>
      </c>
      <c r="N129" s="556">
        <v>83.66</v>
      </c>
      <c r="O129" s="517">
        <v>78.66</v>
      </c>
      <c r="P129" s="549">
        <v>78.66</v>
      </c>
      <c r="Q129" s="556">
        <v>78.66</v>
      </c>
      <c r="R129" s="554">
        <v>0</v>
      </c>
      <c r="S129" s="555">
        <v>0</v>
      </c>
      <c r="T129" s="556">
        <v>0</v>
      </c>
      <c r="U129" s="554">
        <v>0</v>
      </c>
      <c r="V129" s="555">
        <v>0</v>
      </c>
      <c r="W129" s="556">
        <v>0</v>
      </c>
      <c r="X129" s="517">
        <v>95.15</v>
      </c>
      <c r="Y129" s="549">
        <v>95.15</v>
      </c>
      <c r="Z129" s="556">
        <v>95.15</v>
      </c>
      <c r="AA129" s="517">
        <v>102.33</v>
      </c>
      <c r="AB129" s="549">
        <v>102.33</v>
      </c>
      <c r="AC129" s="556">
        <v>102.33</v>
      </c>
      <c r="AD129" s="561">
        <f t="shared" si="45"/>
        <v>669</v>
      </c>
      <c r="AE129" s="562">
        <f t="shared" si="46"/>
        <v>494.66999999999996</v>
      </c>
      <c r="AF129" s="519">
        <f t="shared" si="47"/>
        <v>1163.67</v>
      </c>
    </row>
    <row r="130" spans="2:32" ht="16.5" thickTop="1" thickBot="1" x14ac:dyDescent="0.3">
      <c r="B130" s="128" t="s">
        <v>269</v>
      </c>
      <c r="C130" s="517">
        <v>203.55</v>
      </c>
      <c r="D130" s="549">
        <v>203.55</v>
      </c>
      <c r="E130" s="556">
        <v>203.55</v>
      </c>
      <c r="F130" s="517">
        <v>201.11</v>
      </c>
      <c r="G130" s="549">
        <v>201.11</v>
      </c>
      <c r="H130" s="556">
        <v>201.11</v>
      </c>
      <c r="I130" s="517">
        <v>99.13</v>
      </c>
      <c r="J130" s="549">
        <v>99.13</v>
      </c>
      <c r="K130" s="556">
        <v>99.13</v>
      </c>
      <c r="L130" s="554">
        <v>0</v>
      </c>
      <c r="M130" s="555">
        <v>0</v>
      </c>
      <c r="N130" s="556">
        <v>0</v>
      </c>
      <c r="O130" s="554">
        <v>0</v>
      </c>
      <c r="P130" s="549">
        <v>0</v>
      </c>
      <c r="Q130" s="556">
        <v>0</v>
      </c>
      <c r="R130" s="554">
        <v>0</v>
      </c>
      <c r="S130" s="555">
        <v>0</v>
      </c>
      <c r="T130" s="556">
        <v>0</v>
      </c>
      <c r="U130" s="554">
        <v>0</v>
      </c>
      <c r="V130" s="555">
        <v>0</v>
      </c>
      <c r="W130" s="556">
        <v>0</v>
      </c>
      <c r="X130" s="554">
        <v>0</v>
      </c>
      <c r="Y130" s="555">
        <v>0</v>
      </c>
      <c r="Z130" s="556">
        <v>0</v>
      </c>
      <c r="AA130" s="554">
        <v>0</v>
      </c>
      <c r="AB130" s="555">
        <v>0</v>
      </c>
      <c r="AC130" s="556">
        <v>0</v>
      </c>
      <c r="AD130" s="561">
        <f t="shared" si="45"/>
        <v>503.79</v>
      </c>
      <c r="AE130" s="562">
        <f t="shared" si="46"/>
        <v>503.79</v>
      </c>
      <c r="AF130" s="519">
        <f t="shared" si="47"/>
        <v>1007.58</v>
      </c>
    </row>
    <row r="131" spans="2:32" ht="16.5" thickTop="1" thickBot="1" x14ac:dyDescent="0.3">
      <c r="B131" s="345" t="s">
        <v>270</v>
      </c>
      <c r="C131" s="517">
        <v>13.99</v>
      </c>
      <c r="D131" s="549">
        <v>0</v>
      </c>
      <c r="E131" s="556">
        <v>13.99</v>
      </c>
      <c r="F131" s="517">
        <v>115.21</v>
      </c>
      <c r="G131" s="549">
        <v>0</v>
      </c>
      <c r="H131" s="556">
        <v>115.21</v>
      </c>
      <c r="I131" s="554">
        <v>0</v>
      </c>
      <c r="J131" s="555">
        <v>0</v>
      </c>
      <c r="K131" s="556">
        <v>0</v>
      </c>
      <c r="L131" s="554">
        <v>0</v>
      </c>
      <c r="M131" s="555">
        <v>0</v>
      </c>
      <c r="N131" s="556">
        <v>0</v>
      </c>
      <c r="O131" s="554">
        <v>0</v>
      </c>
      <c r="P131" s="549">
        <v>0</v>
      </c>
      <c r="Q131" s="556">
        <v>0</v>
      </c>
      <c r="R131" s="554">
        <v>0</v>
      </c>
      <c r="S131" s="555">
        <v>0</v>
      </c>
      <c r="T131" s="556">
        <v>0</v>
      </c>
      <c r="U131" s="554">
        <v>0</v>
      </c>
      <c r="V131" s="555">
        <v>0</v>
      </c>
      <c r="W131" s="556">
        <v>0</v>
      </c>
      <c r="X131" s="554">
        <v>0</v>
      </c>
      <c r="Y131" s="555">
        <v>0</v>
      </c>
      <c r="Z131" s="556">
        <v>0</v>
      </c>
      <c r="AA131" s="554">
        <v>0</v>
      </c>
      <c r="AB131" s="555">
        <v>0</v>
      </c>
      <c r="AC131" s="556">
        <v>0</v>
      </c>
      <c r="AD131" s="561">
        <f t="shared" si="45"/>
        <v>129.19999999999999</v>
      </c>
      <c r="AE131" s="562">
        <f t="shared" si="46"/>
        <v>0</v>
      </c>
      <c r="AF131" s="519">
        <f t="shared" si="47"/>
        <v>129.19999999999999</v>
      </c>
    </row>
    <row r="132" spans="2:32" ht="16.5" thickTop="1" thickBot="1" x14ac:dyDescent="0.3">
      <c r="B132" s="345" t="s">
        <v>271</v>
      </c>
      <c r="C132" s="517">
        <v>13.99</v>
      </c>
      <c r="D132" s="549">
        <v>13.99</v>
      </c>
      <c r="E132" s="556">
        <v>13.99</v>
      </c>
      <c r="F132" s="517">
        <v>115.21</v>
      </c>
      <c r="G132" s="549">
        <v>115.21</v>
      </c>
      <c r="H132" s="556">
        <v>115.21</v>
      </c>
      <c r="I132" s="517">
        <v>79.989999999999995</v>
      </c>
      <c r="J132" s="549">
        <v>79.989999999999995</v>
      </c>
      <c r="K132" s="556">
        <v>79.989999999999995</v>
      </c>
      <c r="L132" s="517">
        <v>45.22</v>
      </c>
      <c r="M132" s="549">
        <v>45.22</v>
      </c>
      <c r="N132" s="556">
        <v>45.22</v>
      </c>
      <c r="O132" s="554">
        <v>0</v>
      </c>
      <c r="P132" s="549">
        <v>0</v>
      </c>
      <c r="Q132" s="556">
        <v>0</v>
      </c>
      <c r="R132" s="554">
        <v>0</v>
      </c>
      <c r="S132" s="555">
        <v>0</v>
      </c>
      <c r="T132" s="556">
        <v>0</v>
      </c>
      <c r="U132" s="554">
        <v>0</v>
      </c>
      <c r="V132" s="555">
        <v>0</v>
      </c>
      <c r="W132" s="556">
        <v>0</v>
      </c>
      <c r="X132" s="554">
        <v>0</v>
      </c>
      <c r="Y132" s="555">
        <v>0</v>
      </c>
      <c r="Z132" s="556">
        <v>0</v>
      </c>
      <c r="AA132" s="554">
        <v>0</v>
      </c>
      <c r="AB132" s="555">
        <v>0</v>
      </c>
      <c r="AC132" s="556">
        <v>0</v>
      </c>
      <c r="AD132" s="561">
        <f t="shared" si="45"/>
        <v>254.41</v>
      </c>
      <c r="AE132" s="562">
        <f t="shared" si="46"/>
        <v>254.41</v>
      </c>
      <c r="AF132" s="519">
        <f t="shared" si="47"/>
        <v>508.82</v>
      </c>
    </row>
    <row r="133" spans="2:32" ht="16.5" thickTop="1" thickBot="1" x14ac:dyDescent="0.3">
      <c r="B133" s="345" t="s">
        <v>272</v>
      </c>
      <c r="C133" s="517">
        <v>13.99</v>
      </c>
      <c r="D133" s="549">
        <v>13.99</v>
      </c>
      <c r="E133" s="556">
        <v>13.99</v>
      </c>
      <c r="F133" s="554">
        <v>0</v>
      </c>
      <c r="G133" s="555">
        <v>0</v>
      </c>
      <c r="H133" s="556">
        <v>0</v>
      </c>
      <c r="I133" s="554">
        <v>0</v>
      </c>
      <c r="J133" s="555">
        <v>0</v>
      </c>
      <c r="K133" s="556">
        <v>0</v>
      </c>
      <c r="L133" s="554">
        <v>0</v>
      </c>
      <c r="M133" s="555">
        <v>0</v>
      </c>
      <c r="N133" s="556">
        <v>0</v>
      </c>
      <c r="O133" s="554">
        <v>0</v>
      </c>
      <c r="P133" s="549">
        <v>0</v>
      </c>
      <c r="Q133" s="556">
        <v>0</v>
      </c>
      <c r="R133" s="554">
        <v>0</v>
      </c>
      <c r="S133" s="555">
        <v>0</v>
      </c>
      <c r="T133" s="556">
        <v>0</v>
      </c>
      <c r="U133" s="554">
        <v>0</v>
      </c>
      <c r="V133" s="555">
        <v>0</v>
      </c>
      <c r="W133" s="556">
        <v>0</v>
      </c>
      <c r="X133" s="554">
        <v>0</v>
      </c>
      <c r="Y133" s="555">
        <v>0</v>
      </c>
      <c r="Z133" s="556">
        <v>0</v>
      </c>
      <c r="AA133" s="554">
        <v>0</v>
      </c>
      <c r="AB133" s="555">
        <v>0</v>
      </c>
      <c r="AC133" s="556">
        <v>0</v>
      </c>
      <c r="AD133" s="561">
        <f t="shared" si="45"/>
        <v>13.99</v>
      </c>
      <c r="AE133" s="562">
        <f t="shared" si="46"/>
        <v>13.99</v>
      </c>
      <c r="AF133" s="519">
        <f t="shared" si="47"/>
        <v>27.98</v>
      </c>
    </row>
    <row r="134" spans="2:32" ht="16.5" thickTop="1" thickBot="1" x14ac:dyDescent="0.3">
      <c r="B134" s="345" t="s">
        <v>273</v>
      </c>
      <c r="C134" s="554">
        <v>0</v>
      </c>
      <c r="D134" s="555">
        <v>0</v>
      </c>
      <c r="E134" s="556">
        <v>0</v>
      </c>
      <c r="F134" s="554">
        <v>0</v>
      </c>
      <c r="G134" s="555">
        <v>0</v>
      </c>
      <c r="H134" s="556">
        <v>0</v>
      </c>
      <c r="I134" s="554">
        <v>0</v>
      </c>
      <c r="J134" s="555">
        <v>0</v>
      </c>
      <c r="K134" s="556">
        <v>0</v>
      </c>
      <c r="L134" s="554">
        <v>0</v>
      </c>
      <c r="M134" s="555">
        <v>0</v>
      </c>
      <c r="N134" s="556">
        <v>0</v>
      </c>
      <c r="O134" s="554">
        <v>0</v>
      </c>
      <c r="P134" s="549">
        <v>0</v>
      </c>
      <c r="Q134" s="556">
        <v>0</v>
      </c>
      <c r="R134" s="554">
        <v>0</v>
      </c>
      <c r="S134" s="555">
        <v>0</v>
      </c>
      <c r="T134" s="556">
        <v>0</v>
      </c>
      <c r="U134" s="554">
        <v>0</v>
      </c>
      <c r="V134" s="555">
        <v>0</v>
      </c>
      <c r="W134" s="556">
        <v>0</v>
      </c>
      <c r="X134" s="554">
        <v>0</v>
      </c>
      <c r="Y134" s="555">
        <v>0</v>
      </c>
      <c r="Z134" s="556">
        <v>0</v>
      </c>
      <c r="AA134" s="554">
        <v>0</v>
      </c>
      <c r="AB134" s="555">
        <v>0</v>
      </c>
      <c r="AC134" s="556">
        <v>0</v>
      </c>
      <c r="AD134" s="561">
        <f t="shared" si="45"/>
        <v>0</v>
      </c>
      <c r="AE134" s="562">
        <f t="shared" si="46"/>
        <v>0</v>
      </c>
      <c r="AF134" s="519">
        <f t="shared" si="47"/>
        <v>0</v>
      </c>
    </row>
    <row r="135" spans="2:32" ht="16.5" thickTop="1" thickBot="1" x14ac:dyDescent="0.3">
      <c r="B135" s="345" t="s">
        <v>274</v>
      </c>
      <c r="C135" s="554">
        <v>0</v>
      </c>
      <c r="D135" s="555">
        <v>0</v>
      </c>
      <c r="E135" s="556">
        <v>0</v>
      </c>
      <c r="F135" s="554">
        <v>0</v>
      </c>
      <c r="G135" s="555">
        <v>0</v>
      </c>
      <c r="H135" s="556">
        <v>0</v>
      </c>
      <c r="I135" s="554">
        <v>0</v>
      </c>
      <c r="J135" s="555">
        <v>0</v>
      </c>
      <c r="K135" s="556">
        <v>0</v>
      </c>
      <c r="L135" s="554">
        <v>0</v>
      </c>
      <c r="M135" s="555">
        <v>0</v>
      </c>
      <c r="N135" s="556">
        <v>0</v>
      </c>
      <c r="O135" s="554">
        <v>0</v>
      </c>
      <c r="P135" s="549">
        <v>0</v>
      </c>
      <c r="Q135" s="556">
        <v>0</v>
      </c>
      <c r="R135" s="554">
        <v>0</v>
      </c>
      <c r="S135" s="555">
        <v>0</v>
      </c>
      <c r="T135" s="556">
        <v>0</v>
      </c>
      <c r="U135" s="554">
        <v>0</v>
      </c>
      <c r="V135" s="555">
        <v>0</v>
      </c>
      <c r="W135" s="556">
        <v>0</v>
      </c>
      <c r="X135" s="554">
        <v>0</v>
      </c>
      <c r="Y135" s="555">
        <v>0</v>
      </c>
      <c r="Z135" s="556">
        <v>0</v>
      </c>
      <c r="AA135" s="554">
        <v>0</v>
      </c>
      <c r="AB135" s="555">
        <v>0</v>
      </c>
      <c r="AC135" s="556">
        <v>0</v>
      </c>
      <c r="AD135" s="561">
        <f t="shared" si="45"/>
        <v>0</v>
      </c>
      <c r="AE135" s="562">
        <f t="shared" si="46"/>
        <v>0</v>
      </c>
      <c r="AF135" s="519">
        <f t="shared" si="47"/>
        <v>0</v>
      </c>
    </row>
    <row r="136" spans="2:32" ht="16.5" thickTop="1" thickBot="1" x14ac:dyDescent="0.3">
      <c r="B136" s="346" t="s">
        <v>275</v>
      </c>
      <c r="C136" s="557">
        <v>0</v>
      </c>
      <c r="D136" s="558">
        <v>0</v>
      </c>
      <c r="E136" s="559">
        <v>0</v>
      </c>
      <c r="F136" s="557">
        <v>0</v>
      </c>
      <c r="G136" s="558">
        <v>0</v>
      </c>
      <c r="H136" s="559">
        <v>0</v>
      </c>
      <c r="I136" s="557">
        <v>0</v>
      </c>
      <c r="J136" s="558">
        <v>0</v>
      </c>
      <c r="K136" s="559">
        <v>0</v>
      </c>
      <c r="L136" s="518">
        <v>89.16</v>
      </c>
      <c r="M136" s="550">
        <v>89.16</v>
      </c>
      <c r="N136" s="559">
        <v>89.16</v>
      </c>
      <c r="O136" s="557">
        <v>0</v>
      </c>
      <c r="P136" s="550">
        <v>0</v>
      </c>
      <c r="Q136" s="559">
        <v>0</v>
      </c>
      <c r="R136" s="557">
        <v>0</v>
      </c>
      <c r="S136" s="558">
        <v>0</v>
      </c>
      <c r="T136" s="559">
        <v>0</v>
      </c>
      <c r="U136" s="557">
        <v>0</v>
      </c>
      <c r="V136" s="558">
        <v>0</v>
      </c>
      <c r="W136" s="559">
        <v>0</v>
      </c>
      <c r="X136" s="557">
        <v>0</v>
      </c>
      <c r="Y136" s="558">
        <v>0</v>
      </c>
      <c r="Z136" s="559">
        <v>0</v>
      </c>
      <c r="AA136" s="557">
        <v>0</v>
      </c>
      <c r="AB136" s="558">
        <v>0</v>
      </c>
      <c r="AC136" s="559">
        <v>0</v>
      </c>
      <c r="AD136" s="561">
        <f t="shared" si="45"/>
        <v>89.16</v>
      </c>
      <c r="AE136" s="562">
        <f t="shared" si="46"/>
        <v>89.16</v>
      </c>
      <c r="AF136" s="519">
        <f t="shared" si="47"/>
        <v>178.32</v>
      </c>
    </row>
    <row r="137" spans="2:32" ht="15.75" thickTop="1" x14ac:dyDescent="0.25"/>
  </sheetData>
  <mergeCells count="66">
    <mergeCell ref="T107:T108"/>
    <mergeCell ref="E107:E108"/>
    <mergeCell ref="H107:H108"/>
    <mergeCell ref="K107:K108"/>
    <mergeCell ref="N107:N108"/>
    <mergeCell ref="Q107:Q108"/>
    <mergeCell ref="E123:E124"/>
    <mergeCell ref="H123:H124"/>
    <mergeCell ref="K123:K124"/>
    <mergeCell ref="N123:N124"/>
    <mergeCell ref="Q123:Q124"/>
    <mergeCell ref="AF123:AF124"/>
    <mergeCell ref="W107:W108"/>
    <mergeCell ref="Z107:Z108"/>
    <mergeCell ref="AC107:AC108"/>
    <mergeCell ref="AD107:AE107"/>
    <mergeCell ref="AF107:AF108"/>
    <mergeCell ref="T123:T124"/>
    <mergeCell ref="W123:W124"/>
    <mergeCell ref="Z123:Z124"/>
    <mergeCell ref="AC123:AC124"/>
    <mergeCell ref="AD123:AE123"/>
    <mergeCell ref="AD42:AE42"/>
    <mergeCell ref="E42:E43"/>
    <mergeCell ref="H42:H43"/>
    <mergeCell ref="K42:K43"/>
    <mergeCell ref="N42:N43"/>
    <mergeCell ref="Q42:Q43"/>
    <mergeCell ref="AF42:AF43"/>
    <mergeCell ref="E60:E61"/>
    <mergeCell ref="H60:H61"/>
    <mergeCell ref="K60:K61"/>
    <mergeCell ref="N60:N61"/>
    <mergeCell ref="Q60:Q61"/>
    <mergeCell ref="T60:T61"/>
    <mergeCell ref="W60:W61"/>
    <mergeCell ref="Z60:Z61"/>
    <mergeCell ref="AC60:AC61"/>
    <mergeCell ref="AD60:AE60"/>
    <mergeCell ref="AF60:AF61"/>
    <mergeCell ref="T42:T43"/>
    <mergeCell ref="W42:W43"/>
    <mergeCell ref="Z42:Z43"/>
    <mergeCell ref="AC42:AC43"/>
    <mergeCell ref="AD75:AE75"/>
    <mergeCell ref="E75:E76"/>
    <mergeCell ref="H75:H76"/>
    <mergeCell ref="K75:K76"/>
    <mergeCell ref="N75:N76"/>
    <mergeCell ref="Q75:Q76"/>
    <mergeCell ref="AF75:AF76"/>
    <mergeCell ref="E91:E92"/>
    <mergeCell ref="H91:H92"/>
    <mergeCell ref="K91:K92"/>
    <mergeCell ref="N91:N92"/>
    <mergeCell ref="Q91:Q92"/>
    <mergeCell ref="T91:T92"/>
    <mergeCell ref="W91:W92"/>
    <mergeCell ref="Z91:Z92"/>
    <mergeCell ref="AC91:AC92"/>
    <mergeCell ref="AD91:AE91"/>
    <mergeCell ref="AF91:AF92"/>
    <mergeCell ref="T75:T76"/>
    <mergeCell ref="W75:W76"/>
    <mergeCell ref="Z75:Z76"/>
    <mergeCell ref="AC75:AC76"/>
  </mergeCells>
  <pageMargins left="0.7" right="0.7" top="0.75" bottom="0.75" header="0.3" footer="0.3"/>
  <pageSetup paperSize="8" scale="80" orientation="landscape" r:id="rId1"/>
  <colBreaks count="1" manualBreakCount="1">
    <brk id="2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G99"/>
  <sheetViews>
    <sheetView zoomScaleNormal="100" zoomScaleSheetLayoutView="130" workbookViewId="0">
      <selection activeCell="C8" sqref="C8"/>
    </sheetView>
  </sheetViews>
  <sheetFormatPr defaultColWidth="9.140625" defaultRowHeight="11.25" x14ac:dyDescent="0.2"/>
  <cols>
    <col min="1" max="1" width="4.42578125" style="1" customWidth="1"/>
    <col min="2" max="2" width="23.85546875" style="1" bestFit="1" customWidth="1"/>
    <col min="3" max="5" width="17" style="1" customWidth="1"/>
    <col min="6" max="16384" width="9.140625" style="1"/>
  </cols>
  <sheetData>
    <row r="1" spans="2:7" x14ac:dyDescent="0.2">
      <c r="B1" s="19"/>
      <c r="G1" s="317" t="s">
        <v>134</v>
      </c>
    </row>
    <row r="2" spans="2:7" ht="12" thickBot="1" x14ac:dyDescent="0.25">
      <c r="B2" s="46" t="str">
        <f>IF($B$99="ROMANA","Acces supervizat","Supervized access")</f>
        <v>Acces supervizat</v>
      </c>
      <c r="C2" s="46" t="s">
        <v>283</v>
      </c>
      <c r="D2" s="46" t="str">
        <f>IF($B$99="ROMANA","Marja","Mark-up (margin)")</f>
        <v>Marja</v>
      </c>
      <c r="E2" s="145" t="s">
        <v>284</v>
      </c>
    </row>
    <row r="3" spans="2:7" x14ac:dyDescent="0.2">
      <c r="B3" s="74" t="str">
        <f>IF($B$99="ROMANA","In timpul programului de lucru","Within Business Hours")</f>
        <v>In timpul programului de lucru</v>
      </c>
      <c r="C3" s="75">
        <v>10</v>
      </c>
      <c r="D3" s="436">
        <v>0</v>
      </c>
      <c r="E3" s="76">
        <f>C3+D3</f>
        <v>10</v>
      </c>
      <c r="G3" s="1" t="s">
        <v>285</v>
      </c>
    </row>
    <row r="4" spans="2:7" ht="12" thickBot="1" x14ac:dyDescent="0.25">
      <c r="B4" s="77" t="str">
        <f>IF($B$99="ROMANA","In afara programului de lucru","Outside of Business Hours")</f>
        <v>In afara programului de lucru</v>
      </c>
      <c r="C4" s="78">
        <v>15</v>
      </c>
      <c r="D4" s="437">
        <v>0</v>
      </c>
      <c r="E4" s="79">
        <f>C4+D4</f>
        <v>15</v>
      </c>
      <c r="G4" s="1" t="s">
        <v>285</v>
      </c>
    </row>
    <row r="5" spans="2:7" x14ac:dyDescent="0.2">
      <c r="D5" s="18"/>
    </row>
    <row r="6" spans="2:7" ht="12" thickBot="1" x14ac:dyDescent="0.25">
      <c r="B6" s="46" t="str">
        <f>IF($B$99="ROMANA","Certificare","Certification")</f>
        <v>Certificare</v>
      </c>
      <c r="C6" s="46" t="str">
        <f>IF($B$99="ROMANA","Cost per eveniment","Costs per event")</f>
        <v>Cost per eveniment</v>
      </c>
      <c r="D6" s="149" t="str">
        <f>IF($B$99="ROMANA","Marja","Mark-up (margin)")</f>
        <v>Marja</v>
      </c>
      <c r="E6" s="145" t="s">
        <v>286</v>
      </c>
    </row>
    <row r="7" spans="2:7" x14ac:dyDescent="0.2">
      <c r="B7" s="80" t="str">
        <f>IF($B$99="ROMANA","Pontaj salariati Netcity","Netcity employees time")</f>
        <v>Pontaj salariati Netcity</v>
      </c>
      <c r="C7" s="438">
        <f>2100/'Ipoteze de lucru'!C19</f>
        <v>459.70972614434885</v>
      </c>
      <c r="D7" s="438">
        <v>0</v>
      </c>
      <c r="E7" s="81">
        <f>C7+D7</f>
        <v>459.70972614434885</v>
      </c>
      <c r="G7" s="1" t="s">
        <v>285</v>
      </c>
    </row>
    <row r="8" spans="2:7" ht="12" thickBot="1" x14ac:dyDescent="0.25">
      <c r="B8" s="82" t="s">
        <v>287</v>
      </c>
      <c r="C8" s="439">
        <v>0</v>
      </c>
      <c r="D8" s="439">
        <v>0</v>
      </c>
      <c r="E8" s="83">
        <f>C8+D8</f>
        <v>0</v>
      </c>
    </row>
    <row r="9" spans="2:7" ht="12" thickBot="1" x14ac:dyDescent="0.25">
      <c r="C9" s="18"/>
      <c r="D9" s="18"/>
      <c r="E9" s="84">
        <f>E8+E7</f>
        <v>459.70972614434885</v>
      </c>
    </row>
    <row r="10" spans="2:7" x14ac:dyDescent="0.2">
      <c r="C10" s="18"/>
      <c r="D10" s="18"/>
    </row>
    <row r="11" spans="2:7" x14ac:dyDescent="0.2">
      <c r="C11" s="18"/>
      <c r="D11" s="18"/>
    </row>
    <row r="12" spans="2:7" x14ac:dyDescent="0.2">
      <c r="C12" s="18"/>
      <c r="D12" s="18"/>
    </row>
    <row r="13" spans="2:7" x14ac:dyDescent="0.2">
      <c r="C13" s="18"/>
      <c r="D13" s="18"/>
    </row>
    <row r="14" spans="2:7" x14ac:dyDescent="0.2">
      <c r="C14" s="18"/>
      <c r="D14" s="18"/>
    </row>
    <row r="15" spans="2:7" x14ac:dyDescent="0.2">
      <c r="C15" s="18"/>
      <c r="D15" s="18"/>
    </row>
    <row r="16" spans="2:7" x14ac:dyDescent="0.2">
      <c r="C16" s="18"/>
      <c r="D16" s="18"/>
    </row>
    <row r="17" spans="3:4" x14ac:dyDescent="0.2">
      <c r="C17" s="18"/>
      <c r="D17" s="18"/>
    </row>
    <row r="18" spans="3:4" x14ac:dyDescent="0.2">
      <c r="D18" s="18"/>
    </row>
    <row r="99" spans="2:2" ht="12" hidden="1" thickBot="1" x14ac:dyDescent="0.25">
      <c r="B99" s="42" t="str">
        <f>Sumar!C2</f>
        <v>ROMANA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2:N35"/>
  <sheetViews>
    <sheetView zoomScale="85" zoomScaleNormal="85" workbookViewId="0">
      <selection activeCell="G23" sqref="G23:G26"/>
    </sheetView>
  </sheetViews>
  <sheetFormatPr defaultColWidth="9.140625" defaultRowHeight="15" x14ac:dyDescent="0.25"/>
  <cols>
    <col min="1" max="1" width="9.140625" style="152"/>
    <col min="2" max="2" width="29.85546875" style="152" customWidth="1"/>
    <col min="3" max="3" width="36.5703125" style="152" bestFit="1" customWidth="1"/>
    <col min="4" max="4" width="9.140625" style="152"/>
    <col min="5" max="5" width="14.85546875" style="152" customWidth="1"/>
    <col min="6" max="6" width="36.5703125" style="152" bestFit="1" customWidth="1"/>
    <col min="7" max="7" width="18.140625" style="152" bestFit="1" customWidth="1"/>
    <col min="8" max="8" width="12" style="152" bestFit="1" customWidth="1"/>
    <col min="9" max="12" width="9.140625" style="152"/>
    <col min="13" max="13" width="11.85546875" style="152" bestFit="1" customWidth="1"/>
    <col min="14" max="14" width="10.85546875" style="152" bestFit="1" customWidth="1"/>
    <col min="15" max="16384" width="9.140625" style="152"/>
  </cols>
  <sheetData>
    <row r="2" spans="2:14" ht="15.75" thickBot="1" x14ac:dyDescent="0.3">
      <c r="B2" s="617" t="s">
        <v>288</v>
      </c>
      <c r="C2" s="617"/>
      <c r="F2" s="617" t="s">
        <v>289</v>
      </c>
      <c r="G2" s="617" t="s">
        <v>290</v>
      </c>
    </row>
    <row r="3" spans="2:14" x14ac:dyDescent="0.25">
      <c r="E3" s="590" t="s">
        <v>291</v>
      </c>
      <c r="F3" s="154">
        <f>Materiale!C34/'4. Capacitati de retea'!D13</f>
        <v>0.38178333550226556</v>
      </c>
      <c r="G3" s="591" t="s">
        <v>292</v>
      </c>
    </row>
    <row r="4" spans="2:14" ht="15.75" thickBot="1" x14ac:dyDescent="0.3">
      <c r="B4" s="618">
        <v>2009</v>
      </c>
      <c r="C4" s="618"/>
      <c r="E4" s="592" t="s">
        <v>293</v>
      </c>
      <c r="F4" s="159">
        <f>C35/'4. Capacitati de retea'!D5</f>
        <v>0.53474270891839426</v>
      </c>
      <c r="G4" s="593" t="s">
        <v>292</v>
      </c>
    </row>
    <row r="5" spans="2:14" x14ac:dyDescent="0.25">
      <c r="B5" s="153" t="s">
        <v>294</v>
      </c>
      <c r="C5" s="155" t="s">
        <v>295</v>
      </c>
    </row>
    <row r="6" spans="2:14" ht="15.75" thickBot="1" x14ac:dyDescent="0.3">
      <c r="B6" s="156" t="s">
        <v>291</v>
      </c>
      <c r="C6" s="522">
        <v>21506</v>
      </c>
    </row>
    <row r="7" spans="2:14" ht="16.5" thickTop="1" thickBot="1" x14ac:dyDescent="0.3">
      <c r="B7" s="156" t="s">
        <v>293</v>
      </c>
      <c r="C7" s="522">
        <v>119630</v>
      </c>
      <c r="E7" s="17"/>
      <c r="F7" s="228" t="s">
        <v>278</v>
      </c>
      <c r="G7" s="229">
        <v>2009</v>
      </c>
      <c r="H7" s="229">
        <v>2010</v>
      </c>
      <c r="I7" s="229">
        <v>2011</v>
      </c>
      <c r="J7" s="230">
        <v>2012</v>
      </c>
      <c r="K7" s="229">
        <v>2013</v>
      </c>
      <c r="L7"/>
      <c r="M7" s="229" t="s">
        <v>296</v>
      </c>
      <c r="N7" s="229" t="s">
        <v>297</v>
      </c>
    </row>
    <row r="8" spans="2:14" ht="16.5" thickTop="1" thickBot="1" x14ac:dyDescent="0.3">
      <c r="B8" s="157" t="s">
        <v>191</v>
      </c>
      <c r="C8" s="523">
        <v>402500</v>
      </c>
      <c r="E8" s="17"/>
      <c r="F8" s="231" t="s">
        <v>298</v>
      </c>
      <c r="G8" s="524">
        <v>96.45</v>
      </c>
      <c r="H8" s="524">
        <v>84.402752077127445</v>
      </c>
      <c r="I8" s="524">
        <v>53.15</v>
      </c>
      <c r="J8" s="525">
        <v>73.81</v>
      </c>
      <c r="K8" s="524">
        <v>46.33</v>
      </c>
      <c r="L8"/>
      <c r="M8" s="524">
        <v>71.56</v>
      </c>
      <c r="N8" s="524">
        <v>48.55</v>
      </c>
    </row>
    <row r="9" spans="2:14" ht="16.5" thickTop="1" thickBot="1" x14ac:dyDescent="0.3">
      <c r="E9" s="2"/>
      <c r="F9" s="231" t="s">
        <v>299</v>
      </c>
      <c r="G9" s="524">
        <v>3.45</v>
      </c>
      <c r="H9" s="524">
        <v>2.11</v>
      </c>
      <c r="I9" s="524">
        <v>2.99</v>
      </c>
      <c r="J9" s="525">
        <v>4.05</v>
      </c>
      <c r="K9" s="524">
        <v>2.5499999999999998</v>
      </c>
      <c r="L9"/>
      <c r="M9" s="524">
        <v>4.0999999999999996</v>
      </c>
      <c r="N9" s="524">
        <v>2.0699999999999998</v>
      </c>
    </row>
    <row r="10" spans="2:14" ht="16.5" thickTop="1" thickBot="1" x14ac:dyDescent="0.3">
      <c r="B10" s="616" t="s">
        <v>300</v>
      </c>
      <c r="C10" s="616"/>
      <c r="E10" s="2"/>
      <c r="F10" s="232" t="s">
        <v>266</v>
      </c>
      <c r="G10" s="233">
        <f>G9*$G$23</f>
        <v>17.25</v>
      </c>
      <c r="H10" s="233">
        <f t="shared" ref="H10:K10" si="0">H9*$G$23</f>
        <v>10.549999999999999</v>
      </c>
      <c r="I10" s="233">
        <f t="shared" si="0"/>
        <v>14.950000000000001</v>
      </c>
      <c r="J10" s="234">
        <f t="shared" si="0"/>
        <v>20.25</v>
      </c>
      <c r="K10" s="233">
        <f t="shared" si="0"/>
        <v>12.75</v>
      </c>
      <c r="L10"/>
      <c r="M10" s="526">
        <v>5.21</v>
      </c>
      <c r="N10" s="526">
        <v>7.88</v>
      </c>
    </row>
    <row r="11" spans="2:14" ht="16.5" thickTop="1" thickBot="1" x14ac:dyDescent="0.3">
      <c r="B11" s="153" t="s">
        <v>294</v>
      </c>
      <c r="C11" s="155" t="s">
        <v>301</v>
      </c>
      <c r="E11" s="17"/>
      <c r="F11" s="232" t="s">
        <v>267</v>
      </c>
      <c r="G11" s="233">
        <f>G9*$G$24</f>
        <v>37.950000000000003</v>
      </c>
      <c r="H11" s="233">
        <f t="shared" ref="H11:K11" si="1">H9*$G$24</f>
        <v>23.209999999999997</v>
      </c>
      <c r="I11" s="233">
        <f t="shared" si="1"/>
        <v>32.89</v>
      </c>
      <c r="J11" s="234">
        <f t="shared" si="1"/>
        <v>44.55</v>
      </c>
      <c r="K11" s="233">
        <f t="shared" si="1"/>
        <v>28.049999999999997</v>
      </c>
      <c r="L11"/>
      <c r="M11" s="526">
        <v>15.33</v>
      </c>
      <c r="N11" s="526">
        <v>21.33</v>
      </c>
    </row>
    <row r="12" spans="2:14" ht="16.5" thickTop="1" thickBot="1" x14ac:dyDescent="0.3">
      <c r="B12" s="156" t="s">
        <v>291</v>
      </c>
      <c r="C12" s="522">
        <v>899603</v>
      </c>
      <c r="E12" s="17"/>
      <c r="F12" s="232" t="s">
        <v>268</v>
      </c>
      <c r="G12" s="233">
        <f>G9*$G$25</f>
        <v>72.45</v>
      </c>
      <c r="H12" s="233">
        <f t="shared" ref="H12:K12" si="2">H9*$G$25</f>
        <v>44.309999999999995</v>
      </c>
      <c r="I12" s="233">
        <f t="shared" si="2"/>
        <v>62.790000000000006</v>
      </c>
      <c r="J12" s="234">
        <f t="shared" si="2"/>
        <v>85.05</v>
      </c>
      <c r="K12" s="233">
        <f t="shared" si="2"/>
        <v>53.55</v>
      </c>
      <c r="L12"/>
      <c r="M12" s="526">
        <v>23.66</v>
      </c>
      <c r="N12" s="526">
        <v>23.15</v>
      </c>
    </row>
    <row r="13" spans="2:14" ht="16.5" thickTop="1" thickBot="1" x14ac:dyDescent="0.3">
      <c r="B13" s="156" t="s">
        <v>293</v>
      </c>
      <c r="C13" s="522">
        <v>7909560</v>
      </c>
      <c r="E13" s="17"/>
      <c r="F13" s="232" t="s">
        <v>269</v>
      </c>
      <c r="G13" s="233">
        <f>G9*$G$26</f>
        <v>31.05</v>
      </c>
      <c r="H13" s="233">
        <f t="shared" ref="H13:K13" si="3">H9*$G$26</f>
        <v>18.989999999999998</v>
      </c>
      <c r="I13" s="233">
        <f t="shared" si="3"/>
        <v>26.910000000000004</v>
      </c>
      <c r="J13" s="234">
        <f t="shared" si="3"/>
        <v>36.449999999999996</v>
      </c>
      <c r="K13" s="233">
        <f t="shared" si="3"/>
        <v>22.95</v>
      </c>
      <c r="L13"/>
      <c r="M13" s="526">
        <v>48.15</v>
      </c>
      <c r="N13" s="526">
        <v>41.99</v>
      </c>
    </row>
    <row r="14" spans="2:14" ht="16.5" thickTop="1" thickBot="1" x14ac:dyDescent="0.3">
      <c r="B14" s="157" t="s">
        <v>191</v>
      </c>
      <c r="C14" s="523">
        <v>1760302</v>
      </c>
      <c r="F14" s="235"/>
      <c r="G14" s="236"/>
      <c r="H14" s="237"/>
      <c r="I14" s="238"/>
      <c r="J14" s="238"/>
      <c r="K14" s="238"/>
      <c r="L14"/>
      <c r="M14" s="238"/>
      <c r="N14" s="238"/>
    </row>
    <row r="15" spans="2:14" ht="16.5" thickTop="1" thickBot="1" x14ac:dyDescent="0.3">
      <c r="F15" s="619" t="s">
        <v>302</v>
      </c>
      <c r="G15" s="239"/>
      <c r="H15" s="238"/>
      <c r="I15" s="238"/>
      <c r="J15" s="238"/>
      <c r="K15" s="238"/>
      <c r="L15"/>
      <c r="M15" s="238"/>
      <c r="N15" s="238"/>
    </row>
    <row r="16" spans="2:14" ht="16.5" thickTop="1" thickBot="1" x14ac:dyDescent="0.3">
      <c r="B16" s="616" t="s">
        <v>303</v>
      </c>
      <c r="C16" s="616"/>
      <c r="F16" s="620"/>
      <c r="G16" s="229">
        <v>2009</v>
      </c>
      <c r="H16" s="229">
        <v>2010</v>
      </c>
      <c r="I16" s="229">
        <v>2011</v>
      </c>
      <c r="J16" s="230">
        <v>2012</v>
      </c>
      <c r="K16" s="229">
        <v>2013</v>
      </c>
      <c r="L16"/>
      <c r="M16" s="229" t="s">
        <v>296</v>
      </c>
      <c r="N16" s="229" t="s">
        <v>297</v>
      </c>
    </row>
    <row r="17" spans="2:14" ht="16.5" thickTop="1" thickBot="1" x14ac:dyDescent="0.3">
      <c r="B17" s="153" t="s">
        <v>294</v>
      </c>
      <c r="C17" s="155" t="s">
        <v>301</v>
      </c>
      <c r="F17" s="232" t="s">
        <v>266</v>
      </c>
      <c r="G17" s="233">
        <f>G8+G10</f>
        <v>113.7</v>
      </c>
      <c r="H17" s="233">
        <f t="shared" ref="H17:J17" si="4">H8+H10</f>
        <v>94.952752077127442</v>
      </c>
      <c r="I17" s="233">
        <f t="shared" si="4"/>
        <v>68.099999999999994</v>
      </c>
      <c r="J17" s="234">
        <f t="shared" si="4"/>
        <v>94.06</v>
      </c>
      <c r="K17" s="233">
        <f>K8+K10</f>
        <v>59.08</v>
      </c>
      <c r="L17"/>
      <c r="M17" s="526">
        <v>63.15</v>
      </c>
      <c r="N17" s="526">
        <v>71.55</v>
      </c>
    </row>
    <row r="18" spans="2:14" ht="16.5" thickTop="1" thickBot="1" x14ac:dyDescent="0.3">
      <c r="B18" s="156" t="s">
        <v>291</v>
      </c>
      <c r="C18" s="522">
        <v>402002</v>
      </c>
      <c r="F18" s="232" t="s">
        <v>267</v>
      </c>
      <c r="G18" s="233">
        <f>G8+G11</f>
        <v>134.4</v>
      </c>
      <c r="H18" s="233">
        <f t="shared" ref="H18:K18" si="5">H8+H11</f>
        <v>107.61275207712744</v>
      </c>
      <c r="I18" s="233">
        <f t="shared" si="5"/>
        <v>86.039999999999992</v>
      </c>
      <c r="J18" s="234">
        <f t="shared" si="5"/>
        <v>118.36</v>
      </c>
      <c r="K18" s="233">
        <f t="shared" si="5"/>
        <v>74.38</v>
      </c>
      <c r="L18"/>
      <c r="M18" s="526">
        <v>93.66</v>
      </c>
      <c r="N18" s="526">
        <v>45.63</v>
      </c>
    </row>
    <row r="19" spans="2:14" ht="16.5" thickTop="1" thickBot="1" x14ac:dyDescent="0.3">
      <c r="B19" s="156" t="s">
        <v>293</v>
      </c>
      <c r="C19" s="522">
        <v>901302</v>
      </c>
      <c r="F19" s="232" t="s">
        <v>268</v>
      </c>
      <c r="G19" s="233">
        <f>G8+G12</f>
        <v>168.9</v>
      </c>
      <c r="H19" s="233">
        <f t="shared" ref="H19:K19" si="6">H8+H12</f>
        <v>128.71275207712745</v>
      </c>
      <c r="I19" s="233">
        <f t="shared" si="6"/>
        <v>115.94</v>
      </c>
      <c r="J19" s="234">
        <f t="shared" si="6"/>
        <v>158.86000000000001</v>
      </c>
      <c r="K19" s="233">
        <f t="shared" si="6"/>
        <v>99.88</v>
      </c>
      <c r="L19"/>
      <c r="M19" s="526">
        <v>102.14</v>
      </c>
      <c r="N19" s="526">
        <v>78.989999999999995</v>
      </c>
    </row>
    <row r="20" spans="2:14" ht="16.5" thickTop="1" thickBot="1" x14ac:dyDescent="0.3">
      <c r="B20" s="157" t="s">
        <v>191</v>
      </c>
      <c r="C20" s="523">
        <v>111205</v>
      </c>
      <c r="F20" s="232" t="s">
        <v>269</v>
      </c>
      <c r="G20" s="233">
        <f>G8+G13</f>
        <v>127.5</v>
      </c>
      <c r="H20" s="233">
        <f t="shared" ref="H20:K20" si="7">H8+H13</f>
        <v>103.39275207712744</v>
      </c>
      <c r="I20" s="233">
        <f t="shared" si="7"/>
        <v>80.06</v>
      </c>
      <c r="J20" s="234">
        <f t="shared" si="7"/>
        <v>110.25999999999999</v>
      </c>
      <c r="K20" s="233">
        <f t="shared" si="7"/>
        <v>69.28</v>
      </c>
      <c r="L20"/>
      <c r="M20" s="526">
        <v>111.23</v>
      </c>
      <c r="N20" s="526">
        <v>86.12</v>
      </c>
    </row>
    <row r="21" spans="2:14" ht="15.75" thickTop="1" x14ac:dyDescent="0.25">
      <c r="F21" s="240"/>
      <c r="G21" s="237"/>
      <c r="H21" s="238"/>
      <c r="I21" s="238"/>
      <c r="J21" s="238"/>
      <c r="K21" s="238"/>
      <c r="L21"/>
      <c r="M21" s="238"/>
      <c r="N21" s="238"/>
    </row>
    <row r="22" spans="2:14" x14ac:dyDescent="0.25">
      <c r="B22" s="158" t="s">
        <v>304</v>
      </c>
      <c r="F22" s="615" t="s">
        <v>305</v>
      </c>
      <c r="G22" s="615"/>
      <c r="H22"/>
      <c r="I22"/>
      <c r="J22"/>
      <c r="K22"/>
      <c r="L22"/>
      <c r="M22"/>
      <c r="N22"/>
    </row>
    <row r="23" spans="2:14" x14ac:dyDescent="0.25">
      <c r="F23" s="241" t="s">
        <v>266</v>
      </c>
      <c r="G23" s="520">
        <v>5</v>
      </c>
      <c r="H23"/>
      <c r="I23"/>
      <c r="J23"/>
      <c r="K23"/>
      <c r="L23"/>
      <c r="M23"/>
      <c r="N23"/>
    </row>
    <row r="24" spans="2:14" ht="15.75" thickBot="1" x14ac:dyDescent="0.3">
      <c r="B24" s="2"/>
      <c r="C24" s="594" t="s">
        <v>306</v>
      </c>
      <c r="D24" s="594" t="s">
        <v>113</v>
      </c>
      <c r="F24" s="241" t="s">
        <v>267</v>
      </c>
      <c r="G24" s="520">
        <v>11</v>
      </c>
      <c r="H24"/>
      <c r="I24"/>
      <c r="J24"/>
      <c r="K24"/>
      <c r="L24"/>
      <c r="M24"/>
      <c r="N24"/>
    </row>
    <row r="25" spans="2:14" x14ac:dyDescent="0.25">
      <c r="B25" s="165" t="s">
        <v>307</v>
      </c>
      <c r="C25" s="44">
        <f>F3*'4. Capacitati de retea'!E14+(0+'4. Capacitati de retea'!E10)*Materiale!F4</f>
        <v>2732040.3566294285</v>
      </c>
      <c r="D25" s="168">
        <f>C25/SUM(C25:C27)</f>
        <v>0.17657119790129092</v>
      </c>
      <c r="F25" s="241" t="s">
        <v>268</v>
      </c>
      <c r="G25" s="520">
        <v>21</v>
      </c>
      <c r="H25"/>
      <c r="I25"/>
      <c r="J25"/>
      <c r="K25"/>
      <c r="L25"/>
      <c r="M25"/>
      <c r="N25" s="242"/>
    </row>
    <row r="26" spans="2:14" x14ac:dyDescent="0.25">
      <c r="B26" s="165" t="s">
        <v>308</v>
      </c>
      <c r="C26" s="45">
        <f>F3*'4. Capacitati de retea'!G14+(0+'4. Capacitati de retea'!G10)*Materiale!F4</f>
        <v>453636.02301757637</v>
      </c>
      <c r="D26" s="169">
        <f>C26/SUM(C25:C27)</f>
        <v>2.9318401465420085E-2</v>
      </c>
      <c r="F26" s="241" t="s">
        <v>269</v>
      </c>
      <c r="G26" s="520">
        <v>9</v>
      </c>
      <c r="H26"/>
      <c r="I26"/>
      <c r="J26"/>
      <c r="K26"/>
      <c r="L26"/>
      <c r="M26"/>
      <c r="N26"/>
    </row>
    <row r="27" spans="2:14" x14ac:dyDescent="0.25">
      <c r="B27" s="165" t="s">
        <v>309</v>
      </c>
      <c r="C27" s="45">
        <f>'1. CAPEX'!G32-Materiale!C26-Materiale!C25</f>
        <v>12287064.300046001</v>
      </c>
      <c r="D27" s="169">
        <f>C27/SUM(C25:C27)</f>
        <v>0.79411040063328897</v>
      </c>
    </row>
    <row r="28" spans="2:14" x14ac:dyDescent="0.25">
      <c r="B28" s="166" t="s">
        <v>310</v>
      </c>
      <c r="C28" s="170">
        <f>'4. Capacitati de retea'!F17*Materiale!C27</f>
        <v>8233378.1789985374</v>
      </c>
      <c r="D28" s="171">
        <f>C28/SUM(C25:C27)</f>
        <v>0.53212151288777987</v>
      </c>
    </row>
    <row r="29" spans="2:14" x14ac:dyDescent="0.25">
      <c r="B29" s="166" t="s">
        <v>311</v>
      </c>
      <c r="C29" s="170">
        <f>'4. Capacitati de retea'!H17*Materiale!C27</f>
        <v>4053686.1210474633</v>
      </c>
      <c r="D29" s="171">
        <f>C29/SUM(C25:C27)</f>
        <v>0.2619888877455091</v>
      </c>
    </row>
    <row r="30" spans="2:14" x14ac:dyDescent="0.25">
      <c r="B30" s="167" t="s">
        <v>312</v>
      </c>
      <c r="C30" s="172">
        <f>SUM(C25:C27)</f>
        <v>15472740.679693006</v>
      </c>
      <c r="D30" s="173">
        <f>C30/C30</f>
        <v>1</v>
      </c>
    </row>
    <row r="31" spans="2:14" x14ac:dyDescent="0.25">
      <c r="B31" s="166" t="s">
        <v>313</v>
      </c>
      <c r="C31" s="170">
        <f>C28+C25</f>
        <v>10965418.535627965</v>
      </c>
      <c r="D31" s="171">
        <f>C31/C30</f>
        <v>0.7086927107890707</v>
      </c>
    </row>
    <row r="32" spans="2:14" ht="15.75" thickBot="1" x14ac:dyDescent="0.3">
      <c r="B32" s="166" t="s">
        <v>314</v>
      </c>
      <c r="C32" s="174">
        <f>C29+C26</f>
        <v>4507322.1440650392</v>
      </c>
      <c r="D32" s="175">
        <f>C32/C30</f>
        <v>0.29130728921092919</v>
      </c>
    </row>
    <row r="33" spans="2:3" ht="15.75" thickBot="1" x14ac:dyDescent="0.3">
      <c r="B33" s="2"/>
    </row>
    <row r="34" spans="2:3" x14ac:dyDescent="0.25">
      <c r="B34" s="165" t="s">
        <v>315</v>
      </c>
      <c r="C34" s="198">
        <f>C18+C12+C6</f>
        <v>1323111</v>
      </c>
    </row>
    <row r="35" spans="2:3" ht="15.75" thickBot="1" x14ac:dyDescent="0.3">
      <c r="B35" s="165" t="s">
        <v>316</v>
      </c>
      <c r="C35" s="199">
        <f>C19+C13+C7</f>
        <v>8930492</v>
      </c>
    </row>
  </sheetData>
  <mergeCells count="7">
    <mergeCell ref="F22:G22"/>
    <mergeCell ref="B16:C16"/>
    <mergeCell ref="F2:G2"/>
    <mergeCell ref="B2:C2"/>
    <mergeCell ref="B4:C4"/>
    <mergeCell ref="B10:C10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B16" sqref="B16:D17"/>
    </sheetView>
  </sheetViews>
  <sheetFormatPr defaultColWidth="8.85546875" defaultRowHeight="12.75" x14ac:dyDescent="0.2"/>
  <cols>
    <col min="1" max="1" width="22.5703125" style="566" customWidth="1"/>
    <col min="2" max="2" width="16.28515625" style="566" bestFit="1" customWidth="1"/>
    <col min="3" max="3" width="17.7109375" style="566" bestFit="1" customWidth="1"/>
    <col min="4" max="4" width="50.140625" style="566" bestFit="1" customWidth="1"/>
    <col min="5" max="16384" width="8.85546875" style="566"/>
  </cols>
  <sheetData>
    <row r="2" spans="1:8" ht="13.5" hidden="1" thickBot="1" x14ac:dyDescent="0.25">
      <c r="A2" s="564" t="str">
        <f>IF(Sumar!$C$2="ROMANA","Limba de prezentare:","Language:")</f>
        <v>Limba de prezentare:</v>
      </c>
      <c r="B2" s="565" t="s">
        <v>6</v>
      </c>
      <c r="D2" s="567" t="e">
        <f>[1]Sumar!C16</f>
        <v>#REF!</v>
      </c>
    </row>
    <row r="3" spans="1:8" s="569" customFormat="1" x14ac:dyDescent="0.2">
      <c r="A3" s="568" t="s">
        <v>7</v>
      </c>
      <c r="B3" s="563"/>
      <c r="C3" s="563"/>
      <c r="D3" s="563"/>
      <c r="E3" s="563"/>
      <c r="F3" s="563"/>
      <c r="G3" s="563"/>
      <c r="H3" s="563"/>
    </row>
    <row r="5" spans="1:8" x14ac:dyDescent="0.2">
      <c r="A5" s="569"/>
      <c r="B5" s="569" t="s">
        <v>8</v>
      </c>
      <c r="C5" s="569" t="s">
        <v>9</v>
      </c>
      <c r="D5" s="569" t="s">
        <v>10</v>
      </c>
      <c r="E5" s="569"/>
      <c r="F5" s="569"/>
      <c r="G5" s="569"/>
      <c r="H5" s="569"/>
    </row>
    <row r="7" spans="1:8" x14ac:dyDescent="0.2">
      <c r="B7" s="566" t="s">
        <v>11</v>
      </c>
      <c r="C7" s="566" t="s">
        <v>12</v>
      </c>
      <c r="D7" s="566" t="s">
        <v>13</v>
      </c>
    </row>
    <row r="8" spans="1:8" x14ac:dyDescent="0.2">
      <c r="B8" s="566" t="s">
        <v>14</v>
      </c>
      <c r="C8" s="566" t="s">
        <v>15</v>
      </c>
      <c r="D8" s="566" t="s">
        <v>16</v>
      </c>
    </row>
    <row r="9" spans="1:8" ht="25.5" x14ac:dyDescent="0.2">
      <c r="B9" s="570" t="s">
        <v>17</v>
      </c>
      <c r="C9" s="570" t="s">
        <v>18</v>
      </c>
      <c r="D9" s="571" t="s">
        <v>19</v>
      </c>
    </row>
    <row r="10" spans="1:8" ht="38.25" x14ac:dyDescent="0.2">
      <c r="B10" s="566" t="s">
        <v>14</v>
      </c>
      <c r="C10" s="566" t="s">
        <v>20</v>
      </c>
      <c r="D10" s="572" t="s">
        <v>21</v>
      </c>
    </row>
    <row r="11" spans="1:8" ht="51" x14ac:dyDescent="0.2">
      <c r="B11" s="566" t="s">
        <v>17</v>
      </c>
      <c r="C11" s="566" t="s">
        <v>22</v>
      </c>
      <c r="D11" s="572" t="s">
        <v>23</v>
      </c>
    </row>
    <row r="12" spans="1:8" x14ac:dyDescent="0.2">
      <c r="B12" s="566" t="s">
        <v>17</v>
      </c>
      <c r="C12" s="566" t="s">
        <v>24</v>
      </c>
      <c r="D12" s="572" t="s">
        <v>25</v>
      </c>
    </row>
    <row r="13" spans="1:8" x14ac:dyDescent="0.2">
      <c r="B13" s="573" t="s">
        <v>26</v>
      </c>
      <c r="C13" s="573" t="s">
        <v>27</v>
      </c>
      <c r="D13" s="573" t="s">
        <v>28</v>
      </c>
    </row>
    <row r="14" spans="1:8" x14ac:dyDescent="0.2">
      <c r="B14" s="573" t="s">
        <v>26</v>
      </c>
      <c r="C14" s="573" t="s">
        <v>29</v>
      </c>
      <c r="D14" s="572" t="s">
        <v>30</v>
      </c>
    </row>
    <row r="15" spans="1:8" x14ac:dyDescent="0.2">
      <c r="B15" s="573" t="s">
        <v>26</v>
      </c>
      <c r="C15" s="573" t="s">
        <v>31</v>
      </c>
      <c r="D15" s="572" t="s">
        <v>32</v>
      </c>
    </row>
    <row r="16" spans="1:8" x14ac:dyDescent="0.2">
      <c r="B16" s="573"/>
      <c r="C16" s="573"/>
      <c r="D16" s="573"/>
    </row>
  </sheetData>
  <dataValidations count="1">
    <dataValidation type="list" allowBlank="1" showInputMessage="1" showErrorMessage="1" sqref="B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4"/>
  <sheetViews>
    <sheetView zoomScale="120" zoomScaleNormal="120" workbookViewId="0">
      <selection activeCell="B7" sqref="B7"/>
    </sheetView>
  </sheetViews>
  <sheetFormatPr defaultColWidth="9.140625" defaultRowHeight="11.25" x14ac:dyDescent="0.2"/>
  <cols>
    <col min="1" max="1" width="1.42578125" style="1" customWidth="1"/>
    <col min="2" max="2" width="26" style="1" bestFit="1" customWidth="1"/>
    <col min="3" max="3" width="11" style="1" bestFit="1" customWidth="1"/>
    <col min="4" max="4" width="12" style="1" bestFit="1" customWidth="1"/>
    <col min="5" max="5" width="17.7109375" style="1" bestFit="1" customWidth="1"/>
    <col min="6" max="16384" width="9.140625" style="1"/>
  </cols>
  <sheetData>
    <row r="1" spans="1:11" x14ac:dyDescent="0.2">
      <c r="D1" s="332"/>
    </row>
    <row r="2" spans="1:11" ht="12" hidden="1" thickBot="1" x14ac:dyDescent="0.25">
      <c r="A2" s="12"/>
      <c r="B2" s="109" t="str">
        <f>IF($C$2="ROMANA","Limba de prezentare:","Language:")</f>
        <v>Limba de prezentare:</v>
      </c>
      <c r="C2" s="110" t="s">
        <v>6</v>
      </c>
      <c r="D2" s="333"/>
    </row>
    <row r="3" spans="1:11" x14ac:dyDescent="0.2">
      <c r="A3" s="12"/>
    </row>
    <row r="5" spans="1:11" ht="12" thickBot="1" x14ac:dyDescent="0.25"/>
    <row r="6" spans="1:11" ht="12" thickBot="1" x14ac:dyDescent="0.25">
      <c r="B6" s="176" t="s">
        <v>33</v>
      </c>
      <c r="C6" s="108" t="s">
        <v>34</v>
      </c>
      <c r="D6" s="458" t="s">
        <v>35</v>
      </c>
      <c r="E6" s="458" t="s">
        <v>36</v>
      </c>
    </row>
    <row r="7" spans="1:11" s="12" customFormat="1" ht="12.75" x14ac:dyDescent="0.2">
      <c r="B7" s="457" t="s">
        <v>37</v>
      </c>
      <c r="C7" s="468">
        <f>'Matrice de alocare'!D32</f>
        <v>93.644210538186897</v>
      </c>
      <c r="D7" s="469">
        <f>'Matrice de alocare'!E32/1000</f>
        <v>0.34177973770507958</v>
      </c>
      <c r="E7" s="469">
        <f>'Matrice de alocare'!F32/1000</f>
        <v>0.55585931148637058</v>
      </c>
      <c r="F7" s="12" t="s">
        <v>38</v>
      </c>
      <c r="G7" s="459"/>
      <c r="H7" s="459"/>
      <c r="I7" s="459"/>
      <c r="J7" s="459"/>
      <c r="K7" s="459"/>
    </row>
    <row r="8" spans="1:11" ht="4.1500000000000004" customHeight="1" thickBot="1" x14ac:dyDescent="0.25"/>
    <row r="9" spans="1:11" ht="12.75" x14ac:dyDescent="0.2">
      <c r="B9" s="457" t="s">
        <v>39</v>
      </c>
      <c r="C9" s="384">
        <v>73.160516568208294</v>
      </c>
      <c r="D9" s="521">
        <v>0.22435871538907787</v>
      </c>
      <c r="E9" s="521">
        <v>0.27716156570964645</v>
      </c>
      <c r="H9" s="456"/>
      <c r="I9" s="456"/>
      <c r="J9" s="456"/>
      <c r="K9" s="456"/>
    </row>
    <row r="10" spans="1:11" ht="4.9000000000000004" customHeight="1" x14ac:dyDescent="0.2"/>
    <row r="14" spans="1:11" x14ac:dyDescent="0.2">
      <c r="C14" s="466"/>
      <c r="D14" s="466"/>
      <c r="E14" s="466"/>
    </row>
  </sheetData>
  <dataValidations disablePrompts="1" count="1">
    <dataValidation type="list" allowBlank="1" showInputMessage="1" showErrorMessage="1" sqref="C2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K52"/>
  <sheetViews>
    <sheetView tabSelected="1" topLeftCell="C1" zoomScale="110" zoomScaleNormal="110" workbookViewId="0">
      <selection activeCell="L1" sqref="L1"/>
    </sheetView>
  </sheetViews>
  <sheetFormatPr defaultColWidth="9.140625" defaultRowHeight="11.25" customHeight="1" x14ac:dyDescent="0.2"/>
  <cols>
    <col min="1" max="1" width="2.5703125" style="1" customWidth="1"/>
    <col min="2" max="2" width="47.140625" style="2" customWidth="1"/>
    <col min="3" max="3" width="16.5703125" style="17" bestFit="1" customWidth="1"/>
    <col min="4" max="4" width="18.28515625" style="17" customWidth="1"/>
    <col min="5" max="5" width="16.5703125" style="17" customWidth="1"/>
    <col min="6" max="6" width="22.42578125" style="2" customWidth="1"/>
    <col min="7" max="7" width="20.5703125" style="2" customWidth="1"/>
    <col min="8" max="8" width="20.42578125" style="2" customWidth="1"/>
    <col min="9" max="9" width="12.5703125" style="2" bestFit="1" customWidth="1"/>
    <col min="10" max="10" width="28.5703125" style="2" customWidth="1"/>
    <col min="11" max="11" width="12.42578125" style="7" customWidth="1"/>
    <col min="12" max="16384" width="9.140625" style="1"/>
  </cols>
  <sheetData>
    <row r="1" spans="2:11" ht="11.25" customHeight="1" x14ac:dyDescent="0.2">
      <c r="B1" s="245" t="str">
        <f>Sumar!C2</f>
        <v>ROMANA</v>
      </c>
    </row>
    <row r="2" spans="2:11" ht="11.25" customHeight="1" x14ac:dyDescent="0.2">
      <c r="B2" s="10"/>
      <c r="D2" s="595"/>
      <c r="E2" s="595"/>
      <c r="F2" s="596"/>
      <c r="G2" s="597" t="str">
        <f>IF($B$1="ROMANA","Servicii de supervizare","Supervision services")</f>
        <v>Servicii de supervizare</v>
      </c>
      <c r="H2" s="598"/>
      <c r="I2" s="599" t="str">
        <f>IF($B$1="ROMANA","Alte Servicii","Other")</f>
        <v>Alte Servicii</v>
      </c>
      <c r="J2" s="600"/>
      <c r="K2" s="22"/>
    </row>
    <row r="3" spans="2:11" ht="22.5" x14ac:dyDescent="0.2">
      <c r="B3" s="146" t="s">
        <v>40</v>
      </c>
      <c r="C3" s="70" t="str">
        <f>IF($B$1="ROMANA","Cost lunar Total in EUR","Total monthly cost
EUR")</f>
        <v>Cost lunar Total in EUR</v>
      </c>
      <c r="D3" s="147" t="s">
        <v>41</v>
      </c>
      <c r="E3" s="147" t="s">
        <v>42</v>
      </c>
      <c r="F3" s="71" t="str">
        <f>IF($B$1="ROMANA","FiberCity (pereche de fibre)","FiberCity (pair of fibers)")</f>
        <v>FiberCity (pereche de fibre)</v>
      </c>
      <c r="G3" s="72" t="str">
        <f>IF($B$1="ROMANA","Acces insotit - in timpul programului de lucru","Supervised access - within business hours")</f>
        <v>Acces insotit - in timpul programului de lucru</v>
      </c>
      <c r="H3" s="72" t="str">
        <f>IF($B$1="ROMANA","Acces insotit - in afara programului de lucru","Supervized access - outside of business hours")</f>
        <v>Acces insotit - in afara programului de lucru</v>
      </c>
      <c r="I3" s="72" t="s">
        <v>43</v>
      </c>
      <c r="J3" s="72" t="s">
        <v>44</v>
      </c>
      <c r="K3" s="20"/>
    </row>
    <row r="4" spans="2:11" ht="31.5" customHeight="1" x14ac:dyDescent="0.2">
      <c r="B4" s="87" t="s">
        <v>45</v>
      </c>
      <c r="C4" s="88"/>
      <c r="D4" s="89" t="str">
        <f>IF($B$1="ROMANA","[m / luna]","[m / month]")</f>
        <v>[m / luna]</v>
      </c>
      <c r="E4" s="89" t="str">
        <f>IF($B$1="ROMANA","[m / luna]","[m / month]")</f>
        <v>[m / luna]</v>
      </c>
      <c r="F4" s="89" t="str">
        <f>IF($B$1="ROMANA","[m / luna] (pereche de fibre)","m / month (pair of fibers)")</f>
        <v>[m / luna] (pereche de fibre)</v>
      </c>
      <c r="G4" s="89" t="str">
        <f>IF($B$1="ROMANA","[ora]","[hour]")</f>
        <v>[ora]</v>
      </c>
      <c r="H4" s="89" t="str">
        <f>IF($B$1="ROMANA","[ora]","[hour]")</f>
        <v>[ora]</v>
      </c>
      <c r="I4" s="89"/>
      <c r="J4" s="90" t="str">
        <f>IF($B$1="ROMANA","integral","all")</f>
        <v>integral</v>
      </c>
      <c r="K4" s="20"/>
    </row>
    <row r="5" spans="2:11" ht="26.25" customHeight="1" x14ac:dyDescent="0.2">
      <c r="B5" s="87" t="s">
        <v>46</v>
      </c>
      <c r="C5" s="91"/>
      <c r="D5" s="92" t="str">
        <f>IF($B$1="ROMANA","[km / luna]","[km / month]")</f>
        <v>[km / luna]</v>
      </c>
      <c r="E5" s="92" t="str">
        <f>IF($B$1="ROMANA","[km / luna]","[km / month]")</f>
        <v>[km / luna]</v>
      </c>
      <c r="F5" s="92" t="str">
        <f>IF($B$1="ROMANA","[km / luna]","[km / month]")</f>
        <v>[km / luna]</v>
      </c>
      <c r="G5" s="92" t="str">
        <f>IF($B$1="ROMANA","[ora]","[hour]")</f>
        <v>[ora]</v>
      </c>
      <c r="H5" s="92" t="str">
        <f>IF($B$1="ROMANA","[ora]","[hour]")</f>
        <v>[ora]</v>
      </c>
      <c r="I5" s="92" t="s">
        <v>47</v>
      </c>
      <c r="J5" s="93" t="str">
        <f>IF($B$1="ROMANA","integral","all")</f>
        <v>integral</v>
      </c>
      <c r="K5" s="20"/>
    </row>
    <row r="6" spans="2:11" ht="11.25" customHeight="1" x14ac:dyDescent="0.2">
      <c r="B6" s="59" t="s">
        <v>48</v>
      </c>
      <c r="C6" s="54"/>
      <c r="D6" s="68"/>
      <c r="E6" s="68"/>
      <c r="F6" s="69"/>
      <c r="G6" s="69"/>
      <c r="H6" s="69"/>
      <c r="I6" s="69"/>
      <c r="J6" s="73"/>
      <c r="K6" s="20"/>
    </row>
    <row r="7" spans="2:11" ht="11.25" customHeight="1" x14ac:dyDescent="0.2">
      <c r="B7" s="46" t="str">
        <f>IF($B$1="ROMANA","Lucrari civile cu santurile (TubeCity)","Civil works (excluding civil works specific to FiberCity)")</f>
        <v>Lucrari civile cu santurile (TubeCity)</v>
      </c>
      <c r="C7" s="389">
        <f>'1. CAPEX'!N62/12</f>
        <v>359512.34233845677</v>
      </c>
      <c r="D7" s="16">
        <f>C7*'4. Capacitati de retea'!F17/'4. Capacitati de retea'!E10*1000</f>
        <v>52.537298798848475</v>
      </c>
      <c r="E7" s="16">
        <f>C7*'4. Capacitati de retea'!H17/'4. Capacitati de retea'!G10*1000</f>
        <v>191.89995822975743</v>
      </c>
      <c r="F7" s="47">
        <f>E7/'4. Capacitati de retea'!D22</f>
        <v>236.54607096076222</v>
      </c>
      <c r="G7" s="48">
        <v>0</v>
      </c>
      <c r="H7" s="48">
        <v>0</v>
      </c>
      <c r="I7" s="48">
        <v>0</v>
      </c>
      <c r="J7" s="53">
        <v>0</v>
      </c>
    </row>
    <row r="8" spans="2:11" ht="11.25" customHeight="1" x14ac:dyDescent="0.2">
      <c r="B8" s="46" t="s">
        <v>49</v>
      </c>
      <c r="C8" s="389">
        <f>'1. CAPEX'!N66/12</f>
        <v>15564.338156098878</v>
      </c>
      <c r="D8" s="16">
        <f>C8/'4. Capacitati de retea'!E10*1000</f>
        <v>3.3943346692089946</v>
      </c>
      <c r="E8" s="16">
        <v>0</v>
      </c>
      <c r="F8" s="47">
        <v>0</v>
      </c>
      <c r="G8" s="48"/>
      <c r="H8" s="48"/>
      <c r="I8" s="48"/>
      <c r="J8" s="53">
        <v>0</v>
      </c>
    </row>
    <row r="9" spans="2:11" ht="11.25" customHeight="1" x14ac:dyDescent="0.2">
      <c r="B9" s="46" t="s">
        <v>50</v>
      </c>
      <c r="C9" s="389">
        <f>'1. CAPEX'!N67/12</f>
        <v>9477.3856928733294</v>
      </c>
      <c r="D9" s="16">
        <v>0</v>
      </c>
      <c r="E9" s="16">
        <f>C9/'4. Capacitati de retea'!G10*1000</f>
        <v>15.333724061733204</v>
      </c>
      <c r="F9" s="47">
        <f>E9/'4. Capacitati de retea'!D22</f>
        <v>18.901161904667049</v>
      </c>
      <c r="G9" s="48"/>
      <c r="H9" s="48"/>
      <c r="I9" s="48"/>
      <c r="J9" s="53">
        <v>0</v>
      </c>
    </row>
    <row r="10" spans="2:11" ht="11.25" customHeight="1" x14ac:dyDescent="0.2">
      <c r="B10" s="46" t="s">
        <v>51</v>
      </c>
      <c r="C10" s="389">
        <f>'1. CAPEX'!N68/12</f>
        <v>1304.3954936111561</v>
      </c>
      <c r="D10" s="16">
        <v>0</v>
      </c>
      <c r="E10" s="16">
        <v>0</v>
      </c>
      <c r="F10" s="16">
        <f>C10/'4. Capacitati de retea'!D21*1000</f>
        <v>35.493754928194726</v>
      </c>
      <c r="G10" s="48"/>
      <c r="H10" s="48"/>
      <c r="I10" s="48"/>
      <c r="J10" s="53">
        <v>0</v>
      </c>
    </row>
    <row r="11" spans="2:11" ht="11.25" customHeight="1" x14ac:dyDescent="0.2">
      <c r="B11" s="46" t="str">
        <f>IF($B$1="ROMANA","Materiale (fara materiale specifice FiberCity, camere de tragere)","Materials (excluding materials specific to FiberCity)")</f>
        <v>Materiale (fara materiale specifice FiberCity, camere de tragere)</v>
      </c>
      <c r="C11" s="389">
        <f>'1. CAPEX'!N70/12</f>
        <v>43277.172510662924</v>
      </c>
      <c r="D11" s="16">
        <f>C11*Materiale!D31/'4. Capacitati de retea'!E10*1000</f>
        <v>6.6886865871973935</v>
      </c>
      <c r="E11" s="16">
        <f>C11*Materiale!D32/'4. Capacitati de retea'!G10*1000</f>
        <v>20.397141985673347</v>
      </c>
      <c r="F11" s="16">
        <f>E11/'4. Capacitati de retea'!D22</f>
        <v>25.14259950887082</v>
      </c>
      <c r="G11" s="48">
        <v>0</v>
      </c>
      <c r="H11" s="48">
        <v>0</v>
      </c>
      <c r="I11" s="48">
        <v>0</v>
      </c>
      <c r="J11" s="53">
        <v>0</v>
      </c>
    </row>
    <row r="12" spans="2:11" ht="11.25" customHeight="1" x14ac:dyDescent="0.2">
      <c r="B12" s="46" t="s">
        <v>52</v>
      </c>
      <c r="C12" s="389">
        <f>'1. CAPEX'!N72/12</f>
        <v>5547.5197913512211</v>
      </c>
      <c r="D12" s="16">
        <f>C12/'4. Capacitati de retea'!E10*1000</f>
        <v>1.2098258574861354</v>
      </c>
      <c r="E12" s="16">
        <v>0</v>
      </c>
      <c r="F12" s="16">
        <f>E12/'4. Capacitati de retea'!$D$22</f>
        <v>0</v>
      </c>
      <c r="G12" s="48"/>
      <c r="H12" s="48"/>
      <c r="I12" s="48"/>
      <c r="J12" s="53">
        <v>0</v>
      </c>
    </row>
    <row r="13" spans="2:11" ht="11.25" customHeight="1" x14ac:dyDescent="0.2">
      <c r="B13" s="46" t="s">
        <v>53</v>
      </c>
      <c r="C13" s="389">
        <f>'1. CAPEX'!N73/12</f>
        <v>806.76688861733692</v>
      </c>
      <c r="D13" s="16">
        <v>0</v>
      </c>
      <c r="E13" s="16">
        <f>C13/'4. Capacitati de retea'!G10*1000</f>
        <v>1.3052904306198772</v>
      </c>
      <c r="F13" s="16">
        <f>E13/'4. Capacitati de retea'!D22</f>
        <v>1.608970245090624</v>
      </c>
      <c r="G13" s="48"/>
      <c r="H13" s="48"/>
      <c r="I13" s="48"/>
      <c r="J13" s="53">
        <v>0</v>
      </c>
    </row>
    <row r="14" spans="2:11" ht="11.25" customHeight="1" x14ac:dyDescent="0.2">
      <c r="B14" s="46" t="str">
        <f>IF($B$1="ROMANA","Materiale - fibra optica ","Fiber Optics")</f>
        <v xml:space="preserve">Materiale - fibra optica </v>
      </c>
      <c r="C14" s="389">
        <f>'1. CAPEX'!N74/12</f>
        <v>362.13269687312498</v>
      </c>
      <c r="D14" s="48">
        <v>0</v>
      </c>
      <c r="E14" s="48">
        <v>0</v>
      </c>
      <c r="F14" s="16">
        <f>C14/'4. Capacitati de retea'!$D$21*1000</f>
        <v>9.8539509353231285</v>
      </c>
      <c r="G14" s="48">
        <v>0</v>
      </c>
      <c r="H14" s="48">
        <v>0</v>
      </c>
      <c r="I14" s="48">
        <v>0</v>
      </c>
      <c r="J14" s="53">
        <v>0</v>
      </c>
    </row>
    <row r="15" spans="2:11" ht="11.25" customHeight="1" x14ac:dyDescent="0.2">
      <c r="B15" s="46" t="str">
        <f>IF($B$1="ROMANA","Alte materiale specifice FiberCity ","Fiber Optics")</f>
        <v xml:space="preserve">Alte materiale specifice FiberCity </v>
      </c>
      <c r="C15" s="389">
        <f>'1. CAPEX'!N75/12</f>
        <v>150.40306388644055</v>
      </c>
      <c r="D15" s="48">
        <v>0</v>
      </c>
      <c r="E15" s="48">
        <v>0</v>
      </c>
      <c r="F15" s="16">
        <f>C15/'4. Capacitati de retea'!$D$21*1000</f>
        <v>4.0926003778623281</v>
      </c>
      <c r="G15" s="48">
        <v>0</v>
      </c>
      <c r="H15" s="48">
        <v>0</v>
      </c>
      <c r="I15" s="48">
        <v>0</v>
      </c>
      <c r="J15" s="53">
        <v>0</v>
      </c>
    </row>
    <row r="16" spans="2:11" ht="11.25" customHeight="1" x14ac:dyDescent="0.2">
      <c r="B16" s="59" t="s">
        <v>17</v>
      </c>
      <c r="C16" s="54"/>
      <c r="D16" s="49"/>
      <c r="E16" s="49"/>
      <c r="F16" s="6"/>
      <c r="G16" s="6"/>
      <c r="H16" s="6"/>
      <c r="I16" s="6"/>
      <c r="J16" s="55"/>
    </row>
    <row r="17" spans="2:11" ht="11.25" customHeight="1" x14ac:dyDescent="0.2">
      <c r="B17" s="46" t="s">
        <v>54</v>
      </c>
      <c r="C17" s="52">
        <f>'3. OPEX 2017'!G3</f>
        <v>13656.718761752169</v>
      </c>
      <c r="D17" s="16">
        <f>C17*'4. Capacitati de retea'!$F$10/'4. Capacitati de retea'!$E$10*1000</f>
        <v>2.6245449060312103</v>
      </c>
      <c r="E17" s="16">
        <f>C17*'4. Capacitati de retea'!$H$10/'4. Capacitati de retea'!$G$10*1000</f>
        <v>2.6245449060312103</v>
      </c>
      <c r="F17" s="16">
        <f>E17/'4. Capacitati de retea'!$D$22</f>
        <v>3.2351533127405121</v>
      </c>
      <c r="G17" s="48">
        <v>0</v>
      </c>
      <c r="H17" s="48">
        <v>0</v>
      </c>
      <c r="I17" s="48">
        <v>0</v>
      </c>
      <c r="J17" s="53">
        <v>0</v>
      </c>
      <c r="K17" s="20"/>
    </row>
    <row r="18" spans="2:11" ht="11.25" customHeight="1" x14ac:dyDescent="0.2">
      <c r="B18" s="46" t="s">
        <v>55</v>
      </c>
      <c r="C18" s="52">
        <f>'3. OPEX 2017'!G4</f>
        <v>3370.1157878856461</v>
      </c>
      <c r="D18" s="16">
        <f>C18*'4. Capacitati de retea'!$F$10/'4. Capacitati de retea'!$E$10*1000</f>
        <v>0.64766803638092985</v>
      </c>
      <c r="E18" s="16">
        <f>C18*'4. Capacitati de retea'!$H$10/'4. Capacitati de retea'!$G$10*1000</f>
        <v>0.64766803638092985</v>
      </c>
      <c r="F18" s="16">
        <f>E18/'4. Capacitati de retea'!$D$22</f>
        <v>0.79834998770220733</v>
      </c>
      <c r="G18" s="48"/>
      <c r="H18" s="48"/>
      <c r="I18" s="48"/>
      <c r="J18" s="53"/>
      <c r="K18" s="20"/>
    </row>
    <row r="19" spans="2:11" ht="11.25" customHeight="1" x14ac:dyDescent="0.2">
      <c r="B19" s="46" t="s">
        <v>56</v>
      </c>
      <c r="C19" s="52">
        <f>'3. OPEX 2017'!G5</f>
        <v>9532.2634171407572</v>
      </c>
      <c r="D19" s="48">
        <v>0</v>
      </c>
      <c r="E19" s="48">
        <v>0</v>
      </c>
      <c r="F19" s="48">
        <v>0</v>
      </c>
      <c r="G19" s="50">
        <f>'Alte servicii'!E3</f>
        <v>10</v>
      </c>
      <c r="H19" s="50">
        <f>'Alte servicii'!E4</f>
        <v>15</v>
      </c>
      <c r="I19" s="48">
        <f>'Alte servicii'!E9</f>
        <v>459.70972614434885</v>
      </c>
      <c r="J19" s="53">
        <v>0</v>
      </c>
      <c r="K19" s="20"/>
    </row>
    <row r="20" spans="2:11" ht="11.25" customHeight="1" x14ac:dyDescent="0.2">
      <c r="B20" s="46" t="s">
        <v>57</v>
      </c>
      <c r="C20" s="52">
        <f>'3. OPEX 2017'!G6</f>
        <v>7003.1839390413588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107" t="s">
        <v>58</v>
      </c>
      <c r="J20" s="53">
        <v>0</v>
      </c>
      <c r="K20" s="20"/>
    </row>
    <row r="21" spans="2:11" ht="11.25" customHeight="1" x14ac:dyDescent="0.2">
      <c r="B21" s="46" t="s">
        <v>59</v>
      </c>
      <c r="C21" s="52">
        <f>'3. OPEX 2017'!G7</f>
        <v>3028.2937152411055</v>
      </c>
      <c r="D21" s="16">
        <f>C21*'4. Capacitati de retea'!$F$10/'4. Capacitati de retea'!$E$10*1000</f>
        <v>0.58197675319797315</v>
      </c>
      <c r="E21" s="16">
        <f>C21*'4. Capacitati de retea'!$H$10/'4. Capacitati de retea'!$G$10*1000</f>
        <v>0.58197675319797315</v>
      </c>
      <c r="F21" s="16">
        <f>E21/'4. Capacitati de retea'!D22</f>
        <v>0.71737542639097096</v>
      </c>
      <c r="G21" s="48">
        <v>0</v>
      </c>
      <c r="H21" s="48">
        <v>0</v>
      </c>
      <c r="I21" s="107" t="s">
        <v>58</v>
      </c>
      <c r="J21" s="53">
        <v>0</v>
      </c>
      <c r="K21" s="20"/>
    </row>
    <row r="22" spans="2:11" ht="11.25" customHeight="1" x14ac:dyDescent="0.2">
      <c r="B22" s="46" t="s">
        <v>60</v>
      </c>
      <c r="C22" s="52">
        <f>'3. OPEX 2017'!G14</f>
        <v>0</v>
      </c>
      <c r="D22" s="16">
        <f>C22/('4. Capacitati de retea'!E10+'4. Capacitati de retea'!E13)*1000</f>
        <v>0</v>
      </c>
      <c r="E22" s="16">
        <f>C22/('4. Capacitati de retea'!G10+'4. Capacitati de retea'!G13)*1000</f>
        <v>0</v>
      </c>
      <c r="F22" s="16">
        <f>(C22/('4. Capacitati de retea'!G10+'4. Capacitati de retea'!G13)*1000)+C22/'4. Capacitati de retea'!D21</f>
        <v>0</v>
      </c>
      <c r="G22" s="48"/>
      <c r="H22" s="48"/>
      <c r="I22" s="107"/>
      <c r="J22" s="53"/>
      <c r="K22" s="20"/>
    </row>
    <row r="23" spans="2:11" ht="11.25" customHeight="1" x14ac:dyDescent="0.2">
      <c r="B23" s="46" t="s">
        <v>61</v>
      </c>
      <c r="C23" s="409">
        <v>0</v>
      </c>
      <c r="D23" s="16">
        <f>C23*'4. Capacitati de retea'!$F$10/'4. Capacitati de retea'!$E$10*1000</f>
        <v>0</v>
      </c>
      <c r="E23" s="16">
        <f>C23*'4. Capacitati de retea'!$H$10/'4. Capacitati de retea'!$G$10*1000</f>
        <v>0</v>
      </c>
      <c r="F23" s="16">
        <f>E23/'4. Capacitati de retea'!$D$22</f>
        <v>0</v>
      </c>
      <c r="G23" s="48"/>
      <c r="H23" s="48"/>
      <c r="I23" s="107"/>
      <c r="J23" s="53"/>
      <c r="K23" s="20"/>
    </row>
    <row r="24" spans="2:11" ht="11.25" customHeight="1" x14ac:dyDescent="0.2">
      <c r="B24" s="46" t="s">
        <v>62</v>
      </c>
      <c r="C24" s="52">
        <f>'3. OPEX 2017'!G8</f>
        <v>17326.506309640954</v>
      </c>
      <c r="D24" s="16">
        <f>C24/'4. Capacitati de retea'!E10*1000</f>
        <v>3.7786355239292493</v>
      </c>
      <c r="E24" s="16">
        <f>C24/'4. Capacitati de retea'!G10*1000</f>
        <v>28.033033086929855</v>
      </c>
      <c r="F24" s="16">
        <f>E24/'4. Capacitati de retea'!$D$22</f>
        <v>34.55500405001149</v>
      </c>
      <c r="G24" s="48">
        <v>0</v>
      </c>
      <c r="H24" s="48">
        <v>0</v>
      </c>
      <c r="I24" s="48">
        <v>0</v>
      </c>
      <c r="J24" s="53">
        <v>0</v>
      </c>
      <c r="K24" s="20"/>
    </row>
    <row r="25" spans="2:11" ht="11.25" customHeight="1" x14ac:dyDescent="0.2">
      <c r="B25" s="46" t="s">
        <v>63</v>
      </c>
      <c r="C25" s="52">
        <f>'3. OPEX 2017'!G9</f>
        <v>1956.9189861959721</v>
      </c>
      <c r="D25" s="218">
        <v>0</v>
      </c>
      <c r="E25" s="16">
        <v>0</v>
      </c>
      <c r="F25" s="219">
        <f>C25/'4. Capacitati de retea'!$D$21*1000</f>
        <v>53.249496223019655</v>
      </c>
      <c r="G25" s="48"/>
      <c r="H25" s="48"/>
      <c r="I25" s="48"/>
      <c r="J25" s="53"/>
      <c r="K25" s="20"/>
    </row>
    <row r="26" spans="2:11" ht="11.25" customHeight="1" x14ac:dyDescent="0.2">
      <c r="B26" s="43" t="s">
        <v>64</v>
      </c>
      <c r="C26" s="54"/>
      <c r="D26" s="30"/>
      <c r="E26" s="30"/>
      <c r="F26" s="5"/>
      <c r="G26" s="5"/>
      <c r="H26" s="5"/>
      <c r="I26" s="5"/>
      <c r="J26" s="56"/>
      <c r="K26" s="8"/>
    </row>
    <row r="27" spans="2:11" ht="11.25" customHeight="1" x14ac:dyDescent="0.2">
      <c r="B27" s="46" t="str">
        <f>IF($B$1="ROMANA","SG&amp;A pentru toate serviciile ","SG&amp;A all services ")</f>
        <v xml:space="preserve">SG&amp;A pentru toate serviciile </v>
      </c>
      <c r="C27" s="52">
        <f>OPEX!I56</f>
        <v>75326.612814955879</v>
      </c>
      <c r="D27" s="50">
        <f>(C27/(C27+C28))*SUM(D7:D25)*C34</f>
        <v>10.943934141324089</v>
      </c>
      <c r="E27" s="50">
        <f>(C27/(C27+C28))*SUM(E7:E25)*C34</f>
        <v>39.942831690146193</v>
      </c>
      <c r="F27" s="51">
        <f>(C27/(C27+C28))*SUM(F7:F25)*$C$34</f>
        <v>64.961706247370273</v>
      </c>
      <c r="G27" s="50">
        <f>SUM(G7:G25)*$C$34</f>
        <v>1.5314132575129711</v>
      </c>
      <c r="H27" s="50">
        <f>SUM(H7:H25)*$C$34</f>
        <v>2.2971198862694564</v>
      </c>
      <c r="I27" s="50">
        <f>SUM(I7:I25)*$C$34</f>
        <v>70.400556922511313</v>
      </c>
      <c r="J27" s="53"/>
    </row>
    <row r="28" spans="2:11" ht="11.25" customHeight="1" x14ac:dyDescent="0.2">
      <c r="B28" s="46" t="s">
        <v>65</v>
      </c>
      <c r="C28" s="52">
        <f>'1. CAPEX'!N77/12</f>
        <v>0</v>
      </c>
      <c r="D28" s="50">
        <f>(C28/(C27+C28))*SUM(D7:D25)*C34</f>
        <v>0</v>
      </c>
      <c r="E28" s="50">
        <f>(C28/(C27+C28))*SUM(E7:E25)*C34</f>
        <v>0</v>
      </c>
      <c r="F28" s="51">
        <f>(C28/(C27+C28))*SUM(F7:F25)*$C$34</f>
        <v>0</v>
      </c>
      <c r="G28" s="50"/>
      <c r="H28" s="50"/>
      <c r="I28" s="50"/>
      <c r="J28" s="53"/>
    </row>
    <row r="29" spans="2:11" ht="11.25" customHeight="1" x14ac:dyDescent="0.2">
      <c r="B29" s="94" t="str">
        <f>IF($B$1="ROMANA","Tarif inainte de redeverenta ","Pre Royalty Tarriff ")</f>
        <v xml:space="preserve">Tarif inainte de redeverenta </v>
      </c>
      <c r="C29" s="66"/>
      <c r="D29" s="193">
        <f>SUM(D7:D28)</f>
        <v>82.406905273604465</v>
      </c>
      <c r="E29" s="193">
        <f>SUM(E7:E28)</f>
        <v>300.76616918047006</v>
      </c>
      <c r="F29" s="193">
        <f>SUM(F7:F28)</f>
        <v>489.15619410800605</v>
      </c>
      <c r="G29" s="193">
        <f>SUM(G7:G27)</f>
        <v>11.531413257512972</v>
      </c>
      <c r="H29" s="193">
        <f>SUM(H7:H27)</f>
        <v>17.297119886269456</v>
      </c>
      <c r="I29" s="193">
        <f>SUM(I7:I27)</f>
        <v>530.11028306686012</v>
      </c>
      <c r="J29" s="194">
        <f>SUM(J7:J27)</f>
        <v>0</v>
      </c>
      <c r="K29" s="20"/>
    </row>
    <row r="30" spans="2:11" ht="11.25" customHeight="1" x14ac:dyDescent="0.2">
      <c r="B30" s="59" t="str">
        <f>IF($B$1="ROMANA","Redevente ","Royalties")</f>
        <v xml:space="preserve">Redevente </v>
      </c>
      <c r="C30" s="54"/>
      <c r="D30" s="30"/>
      <c r="E30" s="30"/>
      <c r="F30" s="15"/>
      <c r="G30" s="15"/>
      <c r="H30" s="15"/>
      <c r="I30" s="15"/>
      <c r="J30" s="57"/>
      <c r="K30" s="23"/>
    </row>
    <row r="31" spans="2:11" ht="11.25" customHeight="1" x14ac:dyDescent="0.2">
      <c r="B31" s="46" t="s">
        <v>66</v>
      </c>
      <c r="C31" s="52">
        <v>0</v>
      </c>
      <c r="D31" s="14">
        <f>SUM(D6:D28)*0.12/(1-0.12)</f>
        <v>11.237305264582426</v>
      </c>
      <c r="E31" s="14">
        <f>SUM(E6:E28)*0.12/(1-0.12)</f>
        <v>41.013568524609553</v>
      </c>
      <c r="F31" s="14">
        <f>SUM(F6:F28)*0.12/(1-0.12)</f>
        <v>66.703117378364453</v>
      </c>
      <c r="G31" s="48">
        <v>0</v>
      </c>
      <c r="H31" s="48">
        <v>0</v>
      </c>
      <c r="I31" s="48">
        <v>0</v>
      </c>
      <c r="J31" s="58">
        <v>0</v>
      </c>
      <c r="K31" s="20"/>
    </row>
    <row r="32" spans="2:11" ht="11.25" customHeight="1" x14ac:dyDescent="0.2">
      <c r="B32" s="111" t="str">
        <f>IF($B$1="ROMANA","Tarif ","Tariff")</f>
        <v xml:space="preserve">Tarif </v>
      </c>
      <c r="C32" s="112"/>
      <c r="D32" s="334">
        <f t="shared" ref="D32:I32" si="0">D29+D31</f>
        <v>93.644210538186897</v>
      </c>
      <c r="E32" s="334">
        <f t="shared" si="0"/>
        <v>341.77973770507958</v>
      </c>
      <c r="F32" s="334">
        <f t="shared" si="0"/>
        <v>555.85931148637053</v>
      </c>
      <c r="G32" s="113">
        <f>G29+G31</f>
        <v>11.531413257512972</v>
      </c>
      <c r="H32" s="113">
        <f>H29+H31</f>
        <v>17.297119886269456</v>
      </c>
      <c r="I32" s="113">
        <f t="shared" si="0"/>
        <v>530.11028306686012</v>
      </c>
      <c r="J32" s="114" t="str">
        <f>IF($B$1="ROMANA","nereglementat","not regulated")</f>
        <v>nereglementat</v>
      </c>
      <c r="K32" s="24"/>
    </row>
    <row r="33" spans="2:11" ht="11.25" customHeight="1" x14ac:dyDescent="0.2">
      <c r="D33" s="29"/>
      <c r="E33" s="29"/>
      <c r="F33" s="385"/>
      <c r="J33" s="27" t="str">
        <f>IF($B$1="ROMANA","cu scop ilustrativ","for ilustration only")</f>
        <v>cu scop ilustrativ</v>
      </c>
    </row>
    <row r="34" spans="2:11" ht="11.25" customHeight="1" x14ac:dyDescent="0.2">
      <c r="B34" s="59" t="str">
        <f>IF($B$1="ROMANA","Marja aplicata conform SGA","Mark-up corresponding to SGA")</f>
        <v>Marja aplicata conform SGA</v>
      </c>
      <c r="C34" s="67">
        <f>(C27+C28)/(SUM(C7:C25))</f>
        <v>0.1531413257512971</v>
      </c>
      <c r="E34" s="464"/>
      <c r="J34" s="27"/>
    </row>
    <row r="35" spans="2:11" ht="11.25" customHeight="1" x14ac:dyDescent="0.2">
      <c r="C35" s="349"/>
      <c r="E35" s="464"/>
      <c r="I35" s="329"/>
      <c r="J35" s="331"/>
      <c r="K35" s="330"/>
    </row>
    <row r="36" spans="2:11" ht="11.25" customHeight="1" x14ac:dyDescent="0.2">
      <c r="C36" s="383"/>
      <c r="E36" s="465"/>
      <c r="I36" s="329"/>
      <c r="J36" s="305"/>
      <c r="K36" s="330"/>
    </row>
    <row r="37" spans="2:11" ht="11.25" customHeight="1" x14ac:dyDescent="0.2">
      <c r="I37" s="329"/>
      <c r="J37" s="305"/>
      <c r="K37" s="330"/>
    </row>
    <row r="38" spans="2:11" ht="11.25" customHeight="1" x14ac:dyDescent="0.2">
      <c r="I38" s="329"/>
      <c r="J38" s="305"/>
      <c r="K38" s="330"/>
    </row>
    <row r="39" spans="2:11" ht="11.25" customHeight="1" x14ac:dyDescent="0.2">
      <c r="H39" s="331"/>
      <c r="I39" s="329"/>
      <c r="J39" s="305"/>
      <c r="K39" s="330"/>
    </row>
    <row r="40" spans="2:11" ht="11.25" customHeight="1" x14ac:dyDescent="0.2">
      <c r="H40" s="331"/>
      <c r="I40" s="329"/>
      <c r="J40" s="305"/>
      <c r="K40" s="330"/>
    </row>
    <row r="41" spans="2:11" ht="11.25" customHeight="1" x14ac:dyDescent="0.2">
      <c r="D41" s="329"/>
      <c r="E41" s="329"/>
      <c r="H41" s="331"/>
      <c r="I41" s="329"/>
      <c r="J41" s="305"/>
      <c r="K41" s="330"/>
    </row>
    <row r="42" spans="2:11" ht="11.25" customHeight="1" x14ac:dyDescent="0.2">
      <c r="D42" s="29"/>
      <c r="H42" s="331"/>
      <c r="I42" s="329"/>
      <c r="J42" s="305"/>
      <c r="K42" s="330"/>
    </row>
    <row r="43" spans="2:11" ht="11.25" customHeight="1" x14ac:dyDescent="0.2">
      <c r="D43" s="29"/>
      <c r="H43" s="331"/>
      <c r="I43" s="329"/>
      <c r="J43" s="305"/>
      <c r="K43" s="330"/>
    </row>
    <row r="44" spans="2:11" ht="11.25" customHeight="1" x14ac:dyDescent="0.2">
      <c r="D44" s="29"/>
      <c r="H44" s="331"/>
      <c r="I44" s="329"/>
      <c r="J44" s="305"/>
      <c r="K44" s="330"/>
    </row>
    <row r="45" spans="2:11" ht="11.25" customHeight="1" x14ac:dyDescent="0.2">
      <c r="D45" s="29"/>
      <c r="H45" s="331"/>
      <c r="I45" s="329"/>
      <c r="J45" s="305"/>
      <c r="K45" s="330"/>
    </row>
    <row r="46" spans="2:11" ht="11.25" customHeight="1" x14ac:dyDescent="0.2">
      <c r="D46" s="29"/>
      <c r="I46" s="329"/>
      <c r="J46" s="305"/>
      <c r="K46" s="330"/>
    </row>
    <row r="47" spans="2:11" ht="11.25" customHeight="1" x14ac:dyDescent="0.2">
      <c r="D47" s="29"/>
      <c r="H47" s="331"/>
      <c r="I47" s="329"/>
      <c r="J47" s="305"/>
      <c r="K47" s="330"/>
    </row>
    <row r="48" spans="2:11" ht="11.25" customHeight="1" x14ac:dyDescent="0.2">
      <c r="D48" s="29"/>
      <c r="H48" s="331"/>
      <c r="I48" s="329"/>
      <c r="J48" s="305"/>
      <c r="K48" s="330"/>
    </row>
    <row r="49" spans="4:11" ht="11.25" customHeight="1" x14ac:dyDescent="0.2">
      <c r="D49" s="29"/>
      <c r="H49" s="331"/>
      <c r="I49" s="329"/>
      <c r="J49" s="305"/>
      <c r="K49" s="330"/>
    </row>
    <row r="50" spans="4:11" ht="11.25" customHeight="1" x14ac:dyDescent="0.2">
      <c r="D50" s="29"/>
      <c r="H50" s="331"/>
      <c r="I50" s="329"/>
      <c r="J50" s="305"/>
      <c r="K50" s="330"/>
    </row>
    <row r="51" spans="4:11" ht="11.25" customHeight="1" x14ac:dyDescent="0.2">
      <c r="D51" s="29"/>
      <c r="I51" s="329"/>
      <c r="J51" s="305"/>
      <c r="K51" s="330"/>
    </row>
    <row r="52" spans="4:11" ht="11.25" customHeight="1" x14ac:dyDescent="0.2">
      <c r="D52" s="29"/>
      <c r="H52" s="331"/>
      <c r="I52" s="329"/>
      <c r="J52" s="305"/>
      <c r="K52" s="330"/>
    </row>
  </sheetData>
  <mergeCells count="3">
    <mergeCell ref="D2:F2"/>
    <mergeCell ref="G2:H2"/>
    <mergeCell ref="I2:J2"/>
  </mergeCells>
  <pageMargins left="0.7" right="0.7" top="0.75" bottom="0.75" header="0.3" footer="0.3"/>
  <pageSetup scale="82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XFC75"/>
  <sheetViews>
    <sheetView zoomScale="110" zoomScaleNormal="110" workbookViewId="0">
      <selection activeCell="B21" sqref="B21:B24"/>
    </sheetView>
  </sheetViews>
  <sheetFormatPr defaultColWidth="9.140625" defaultRowHeight="11.25" customHeight="1" x14ac:dyDescent="0.2"/>
  <cols>
    <col min="1" max="1" width="2.42578125" style="1" customWidth="1"/>
    <col min="2" max="2" width="29.42578125" style="2" customWidth="1"/>
    <col min="3" max="4" width="14.42578125" style="1" customWidth="1"/>
    <col min="5" max="5" width="6.28515625" style="1" bestFit="1" customWidth="1"/>
    <col min="6" max="8" width="14.42578125" style="1" customWidth="1"/>
    <col min="9" max="16384" width="9.140625" style="1"/>
  </cols>
  <sheetData>
    <row r="1" spans="2:16383" ht="11.25" customHeight="1" x14ac:dyDescent="0.25">
      <c r="B1" s="3"/>
      <c r="F1" s="390"/>
    </row>
    <row r="2" spans="2:16383" s="8" customFormat="1" ht="15.75" collapsed="1" thickBot="1" x14ac:dyDescent="0.3">
      <c r="B2" s="43" t="s">
        <v>67</v>
      </c>
      <c r="C2" s="43" t="str">
        <f>IF($B$75="ROMANA","Valoare","value")</f>
        <v>Valoare</v>
      </c>
      <c r="D2" s="1"/>
      <c r="E2" s="391"/>
      <c r="F2" s="574"/>
      <c r="G2" s="575"/>
      <c r="H2" s="575"/>
      <c r="I2" s="576"/>
      <c r="J2" s="576"/>
      <c r="K2" s="576"/>
      <c r="L2" s="576"/>
      <c r="M2" s="576"/>
      <c r="N2" s="576"/>
      <c r="O2" s="576"/>
      <c r="P2" s="57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pans="2:16383" ht="15" x14ac:dyDescent="0.25">
      <c r="B3" s="96"/>
      <c r="C3" s="410">
        <v>0.107</v>
      </c>
      <c r="E3" s="390"/>
      <c r="F3" s="577"/>
      <c r="G3" s="392"/>
      <c r="H3" s="576"/>
      <c r="I3" s="575"/>
      <c r="J3" s="575"/>
      <c r="K3" s="575"/>
      <c r="L3" s="575"/>
      <c r="M3" s="575"/>
      <c r="N3" s="576"/>
      <c r="O3" s="576"/>
      <c r="P3" s="576"/>
    </row>
    <row r="4" spans="2:16383" ht="11.25" customHeight="1" x14ac:dyDescent="0.25">
      <c r="B4" s="4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</row>
    <row r="5" spans="2:16383" ht="11.25" hidden="1" customHeight="1" thickBot="1" x14ac:dyDescent="0.3">
      <c r="B5" s="43" t="str">
        <f>IF($B$75="ROMANA","Marja OPEX","OPEX mark-up")</f>
        <v>Marja OPEX</v>
      </c>
      <c r="C5" s="43" t="str">
        <f>C2</f>
        <v>Valoare</v>
      </c>
      <c r="E5" s="576"/>
      <c r="F5" s="578"/>
      <c r="G5" s="578"/>
      <c r="H5" s="576"/>
      <c r="I5" s="576"/>
      <c r="J5" s="576"/>
      <c r="K5" s="576"/>
      <c r="L5" s="576"/>
      <c r="M5" s="576"/>
      <c r="N5" s="576"/>
      <c r="O5" s="576"/>
      <c r="P5" s="576"/>
    </row>
    <row r="6" spans="2:16383" ht="11.25" hidden="1" customHeight="1" x14ac:dyDescent="0.25">
      <c r="B6" s="96">
        <f>B3</f>
        <v>0</v>
      </c>
      <c r="C6" s="97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</row>
    <row r="7" spans="2:16383" ht="11.25" hidden="1" customHeight="1" thickBot="1" x14ac:dyDescent="0.3">
      <c r="B7" s="98"/>
      <c r="C7" s="99"/>
      <c r="E7" s="576"/>
      <c r="F7" s="578"/>
      <c r="G7" s="578"/>
      <c r="H7" s="576"/>
      <c r="I7" s="576"/>
      <c r="J7" s="576"/>
      <c r="K7" s="576"/>
      <c r="L7" s="576"/>
      <c r="M7" s="576"/>
      <c r="N7" s="576"/>
      <c r="O7" s="576"/>
      <c r="P7" s="576"/>
    </row>
    <row r="8" spans="2:16383" s="2" customFormat="1" ht="11.25" customHeight="1" x14ac:dyDescent="0.25">
      <c r="B8" s="4"/>
      <c r="C8" s="1"/>
      <c r="D8" s="1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</row>
    <row r="9" spans="2:16383" s="2" customFormat="1" ht="10.5" customHeight="1" thickBot="1" x14ac:dyDescent="0.3">
      <c r="B9" s="43" t="str">
        <f>IF($B$75="ROMANA","Curs mediu de schimb EUR | RON ","EUR | RON average exchange rate")</f>
        <v xml:space="preserve">Curs mediu de schimb EUR | RON </v>
      </c>
      <c r="C9" s="43" t="str">
        <f>IF($B$75="ROMANA","Curs valutar mediu mediu ","Average FX")</f>
        <v xml:space="preserve">Curs valutar mediu mediu </v>
      </c>
      <c r="D9" s="1"/>
      <c r="E9" s="576"/>
      <c r="F9" s="578"/>
      <c r="G9" s="578"/>
      <c r="H9" s="576"/>
      <c r="I9" s="576"/>
      <c r="J9" s="576"/>
      <c r="K9" s="576"/>
      <c r="L9" s="576"/>
      <c r="M9" s="576"/>
      <c r="N9" s="576"/>
      <c r="O9" s="576"/>
      <c r="P9" s="57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</row>
    <row r="10" spans="2:16383" s="2" customFormat="1" ht="10.5" customHeight="1" x14ac:dyDescent="0.25">
      <c r="B10" s="100">
        <v>2008</v>
      </c>
      <c r="C10" s="76">
        <v>3.6827000000000001</v>
      </c>
      <c r="D10" s="1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</row>
    <row r="11" spans="2:16383" s="2" customFormat="1" ht="10.5" customHeight="1" x14ac:dyDescent="0.25">
      <c r="B11" s="101">
        <v>2009</v>
      </c>
      <c r="C11" s="102">
        <v>4.2373000000000003</v>
      </c>
      <c r="D11" s="1"/>
      <c r="E11" s="576"/>
      <c r="F11" s="578"/>
      <c r="G11" s="578"/>
      <c r="H11" s="576"/>
      <c r="I11" s="576"/>
      <c r="J11" s="576"/>
      <c r="K11" s="576"/>
      <c r="L11" s="576"/>
      <c r="M11" s="576"/>
      <c r="N11" s="576"/>
      <c r="O11" s="576"/>
      <c r="P11" s="57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</row>
    <row r="12" spans="2:16383" s="2" customFormat="1" ht="10.5" customHeight="1" x14ac:dyDescent="0.25">
      <c r="B12" s="101">
        <v>2010</v>
      </c>
      <c r="C12" s="102">
        <v>4.2099000000000002</v>
      </c>
      <c r="D12" s="1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</row>
    <row r="13" spans="2:16383" s="2" customFormat="1" ht="11.25" customHeight="1" x14ac:dyDescent="0.25">
      <c r="B13" s="101">
        <v>2011</v>
      </c>
      <c r="C13" s="102">
        <v>4.2378999999999998</v>
      </c>
      <c r="D13" s="1"/>
      <c r="E13" s="576"/>
      <c r="F13" s="578"/>
      <c r="G13" s="578"/>
      <c r="H13" s="576"/>
      <c r="I13" s="576"/>
      <c r="J13" s="576"/>
      <c r="K13" s="576"/>
      <c r="L13" s="576"/>
      <c r="M13" s="576"/>
      <c r="N13" s="576"/>
      <c r="O13" s="576"/>
      <c r="P13" s="57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</row>
    <row r="14" spans="2:16383" s="2" customFormat="1" ht="11.25" customHeight="1" x14ac:dyDescent="0.25">
      <c r="B14" s="101">
        <v>2012</v>
      </c>
      <c r="C14" s="102">
        <v>4.4560000000000004</v>
      </c>
      <c r="D14" s="1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</row>
    <row r="15" spans="2:16383" s="2" customFormat="1" ht="11.25" customHeight="1" thickBot="1" x14ac:dyDescent="0.3">
      <c r="B15" s="101">
        <v>2013</v>
      </c>
      <c r="C15" s="200">
        <v>4.4189999999999996</v>
      </c>
      <c r="D15" s="1"/>
      <c r="E15" s="576"/>
      <c r="F15" s="578"/>
      <c r="G15" s="578"/>
      <c r="H15" s="576"/>
      <c r="I15" s="576"/>
      <c r="J15" s="576"/>
      <c r="K15" s="576"/>
      <c r="L15" s="576"/>
      <c r="M15" s="576"/>
      <c r="N15" s="576"/>
      <c r="O15" s="576"/>
      <c r="P15" s="57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</row>
    <row r="16" spans="2:16383" ht="11.25" customHeight="1" x14ac:dyDescent="0.2">
      <c r="B16" s="100">
        <v>2014</v>
      </c>
      <c r="C16" s="76">
        <v>4.4446000000000003</v>
      </c>
    </row>
    <row r="17" spans="2:16383" ht="11.25" customHeight="1" x14ac:dyDescent="0.2">
      <c r="B17" s="101">
        <v>2015</v>
      </c>
      <c r="C17" s="102">
        <v>4.4450000000000003</v>
      </c>
    </row>
    <row r="18" spans="2:16383" ht="11.25" customHeight="1" x14ac:dyDescent="0.2">
      <c r="B18" s="101">
        <v>2016</v>
      </c>
      <c r="C18" s="102">
        <v>4.4908000000000001</v>
      </c>
    </row>
    <row r="19" spans="2:16383" ht="11.25" customHeight="1" x14ac:dyDescent="0.2">
      <c r="B19" s="101">
        <v>2017</v>
      </c>
      <c r="C19" s="102">
        <v>4.5681000000000003</v>
      </c>
    </row>
    <row r="20" spans="2:16383" s="2" customFormat="1" ht="11.25" customHeight="1" x14ac:dyDescent="0.2">
      <c r="B20" s="11"/>
      <c r="D20" s="1"/>
      <c r="E20" s="1"/>
      <c r="F20" s="327"/>
      <c r="G20" s="32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</row>
    <row r="21" spans="2:16383" ht="11.25" customHeight="1" thickBot="1" x14ac:dyDescent="0.25">
      <c r="B21" s="43" t="s">
        <v>68</v>
      </c>
      <c r="C21" s="43"/>
    </row>
    <row r="22" spans="2:16383" ht="11.25" customHeight="1" x14ac:dyDescent="0.2">
      <c r="B22" s="103" t="s">
        <v>69</v>
      </c>
      <c r="C22" s="411">
        <v>40</v>
      </c>
      <c r="F22" s="327"/>
      <c r="G22" s="327"/>
    </row>
    <row r="23" spans="2:16383" ht="11.25" customHeight="1" x14ac:dyDescent="0.2">
      <c r="B23" s="104" t="s">
        <v>70</v>
      </c>
      <c r="C23" s="412">
        <v>40</v>
      </c>
    </row>
    <row r="24" spans="2:16383" ht="11.25" customHeight="1" thickBot="1" x14ac:dyDescent="0.25">
      <c r="B24" s="105" t="s">
        <v>71</v>
      </c>
      <c r="C24" s="106">
        <v>20</v>
      </c>
      <c r="F24" s="326"/>
      <c r="G24" s="326"/>
    </row>
    <row r="75" spans="2:2" ht="11.25" hidden="1" customHeight="1" thickBot="1" x14ac:dyDescent="0.25">
      <c r="B75" s="42" t="str">
        <f>Sumar!C2</f>
        <v>ROMANA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2D050"/>
  </sheetPr>
  <dimension ref="A1:BB94"/>
  <sheetViews>
    <sheetView zoomScaleNormal="100" workbookViewId="0">
      <pane xSplit="2" ySplit="2" topLeftCell="H57" activePane="bottomRight" state="frozen"/>
      <selection pane="topRight" activeCell="C1" sqref="C1"/>
      <selection pane="bottomLeft" activeCell="A3" sqref="A3"/>
      <selection pane="bottomRight" activeCell="N68" sqref="N68"/>
    </sheetView>
  </sheetViews>
  <sheetFormatPr defaultColWidth="9.140625" defaultRowHeight="15" outlineLevelRow="1" x14ac:dyDescent="0.25"/>
  <cols>
    <col min="1" max="1" width="10.140625" style="318" customWidth="1"/>
    <col min="2" max="2" width="44" style="32" customWidth="1"/>
    <col min="3" max="3" width="12.42578125" style="247" customWidth="1"/>
    <col min="4" max="4" width="13.5703125" style="247" bestFit="1" customWidth="1"/>
    <col min="5" max="5" width="14.5703125" style="247" bestFit="1" customWidth="1"/>
    <col min="6" max="6" width="12.42578125" style="247" customWidth="1"/>
    <col min="7" max="7" width="12.5703125" style="254" bestFit="1" customWidth="1"/>
    <col min="8" max="8" width="13" style="254" bestFit="1" customWidth="1"/>
    <col min="9" max="9" width="13.5703125" style="254" bestFit="1" customWidth="1"/>
    <col min="10" max="12" width="13" style="254" bestFit="1" customWidth="1"/>
    <col min="13" max="13" width="16.28515625" style="32" customWidth="1"/>
    <col min="14" max="14" width="18.7109375" style="32" customWidth="1"/>
    <col min="15" max="15" width="13.5703125" style="32" customWidth="1"/>
    <col min="16" max="16" width="13" style="32" customWidth="1"/>
    <col min="17" max="17" width="16.28515625" style="32" customWidth="1"/>
    <col min="18" max="23" width="12" style="32" bestFit="1" customWidth="1"/>
    <col min="24" max="25" width="12.5703125" style="32" bestFit="1" customWidth="1"/>
    <col min="26" max="30" width="12" style="32" bestFit="1" customWidth="1"/>
    <col min="31" max="34" width="12.5703125" style="32" bestFit="1" customWidth="1"/>
    <col min="35" max="43" width="14.140625" style="32" bestFit="1" customWidth="1"/>
    <col min="44" max="44" width="18.140625" style="32" bestFit="1" customWidth="1"/>
    <col min="45" max="45" width="17.5703125" style="32" bestFit="1" customWidth="1"/>
    <col min="46" max="46" width="16.140625" style="32" bestFit="1" customWidth="1"/>
    <col min="47" max="52" width="14" style="32" bestFit="1" customWidth="1"/>
    <col min="53" max="53" width="14.5703125" style="32" bestFit="1" customWidth="1"/>
    <col min="54" max="54" width="13.5703125" style="32" bestFit="1" customWidth="1"/>
    <col min="55" max="16384" width="9.140625" style="32"/>
  </cols>
  <sheetData>
    <row r="1" spans="1:54" ht="10.5" customHeight="1" x14ac:dyDescent="0.25">
      <c r="C1" s="339">
        <f>1/'Ipoteze de lucru'!C10</f>
        <v>0.27153990278871482</v>
      </c>
      <c r="D1" s="339">
        <f>1/'Ipoteze de lucru'!C11</f>
        <v>0.23599933920185021</v>
      </c>
      <c r="E1" s="339">
        <f>1/'Ipoteze de lucru'!C12</f>
        <v>0.2375353333808404</v>
      </c>
      <c r="F1" s="339">
        <f>1/'Ipoteze de lucru'!C13</f>
        <v>0.23596592652021051</v>
      </c>
      <c r="G1" s="339">
        <f>1/'Ipoteze de lucru'!C14</f>
        <v>0.22441651705565527</v>
      </c>
      <c r="H1" s="339">
        <f>1/'Ipoteze de lucru'!C15</f>
        <v>0.22629554197782306</v>
      </c>
      <c r="I1" s="339">
        <f>1/'Ipoteze de lucru'!C16</f>
        <v>0.22499212527561532</v>
      </c>
      <c r="J1" s="335">
        <f>1/'Ipoteze de lucru'!C17</f>
        <v>0.22497187851518557</v>
      </c>
      <c r="K1" s="335">
        <f>1/'Ipoteze de lucru'!C18</f>
        <v>0.22267747394673554</v>
      </c>
      <c r="L1" s="335">
        <f>1/'Ipoteze de lucru'!C19</f>
        <v>0.21890939340207086</v>
      </c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</row>
    <row r="2" spans="1:54" s="276" customFormat="1" x14ac:dyDescent="0.25">
      <c r="A2" s="319"/>
      <c r="B2" s="274" t="e">
        <f>IF(LIMBA="ROMANA","CAPEX (RON)","CAPEX (all values are in RON)")</f>
        <v>#REF!</v>
      </c>
      <c r="C2" s="275" t="str">
        <f>IF($B$140="ROMANA","Final 2008","end 2008")</f>
        <v>end 2008</v>
      </c>
      <c r="D2" s="275" t="str">
        <f>IF($B$140="ROMANA","Final 2009","end 2009")</f>
        <v>end 2009</v>
      </c>
      <c r="E2" s="275" t="str">
        <f>IF($B$140="ROMANA","Final 2010","end 2010")</f>
        <v>end 2010</v>
      </c>
      <c r="F2" s="275" t="str">
        <f>IF($B$140="ROMANA","Final 2011","end 2011")</f>
        <v>end 2011</v>
      </c>
      <c r="G2" s="275" t="str">
        <f>IF($B$140="ROMANA","Final 2012","end 2012")</f>
        <v>end 2012</v>
      </c>
      <c r="H2" s="275" t="s">
        <v>72</v>
      </c>
      <c r="I2" s="275" t="s">
        <v>73</v>
      </c>
      <c r="J2" s="275" t="s">
        <v>74</v>
      </c>
      <c r="K2" s="275" t="s">
        <v>75</v>
      </c>
      <c r="L2" s="275" t="s">
        <v>76</v>
      </c>
      <c r="M2" s="277" t="s">
        <v>77</v>
      </c>
      <c r="N2" s="277" t="s">
        <v>78</v>
      </c>
      <c r="O2" s="277"/>
      <c r="P2" s="277"/>
    </row>
    <row r="3" spans="1:54" x14ac:dyDescent="0.25">
      <c r="B3" s="33" t="e">
        <f>IF(LIMBA="ROMANA","CAPEX pentru anul curent","Capex for the year")</f>
        <v>#REF!</v>
      </c>
      <c r="C3" s="248">
        <f t="shared" ref="C3:G3" si="0">C7+C10+C13+C15+C16+C19+C20+C21</f>
        <v>5715661</v>
      </c>
      <c r="D3" s="248">
        <f t="shared" si="0"/>
        <v>3524375.6457605092</v>
      </c>
      <c r="E3" s="248">
        <f t="shared" si="0"/>
        <v>41229545.660000004</v>
      </c>
      <c r="F3" s="248">
        <f t="shared" si="0"/>
        <v>68174907.323522925</v>
      </c>
      <c r="G3" s="248">
        <f t="shared" si="0"/>
        <v>54477371</v>
      </c>
      <c r="H3" s="248">
        <f>H7+H10+H13+H15+H16+H19+H20+H21</f>
        <v>6274104</v>
      </c>
      <c r="I3" s="248">
        <f t="shared" ref="I3:K3" si="1">I7+I10+I13+I15+I16+I19+I20+I21</f>
        <v>1280037.3267999999</v>
      </c>
      <c r="J3" s="248">
        <f t="shared" si="1"/>
        <v>1012538.985112917</v>
      </c>
      <c r="K3" s="248">
        <f t="shared" si="1"/>
        <v>909454.71543841984</v>
      </c>
      <c r="L3" s="248">
        <f>L7+L10+L13+L15+L16+L19+L20+L21</f>
        <v>26330161.254300002</v>
      </c>
      <c r="M3" s="579">
        <f>SUMPRODUCT(C3:L3,$C$1:$L$1)</f>
        <v>48391858.847798929</v>
      </c>
      <c r="N3" s="394">
        <f>N7+N10+N13+N15+N16+N19+N20+N21</f>
        <v>5268956.1998374993</v>
      </c>
      <c r="O3" s="242"/>
      <c r="P3"/>
    </row>
    <row r="4" spans="1:54" x14ac:dyDescent="0.25">
      <c r="B4" s="33" t="e">
        <f>IF(LIMBA="ROMANA","Valoare bruta (sold)","Gross book value (balance)")</f>
        <v>#REF!</v>
      </c>
      <c r="C4" s="248">
        <f>C3</f>
        <v>5715661</v>
      </c>
      <c r="D4" s="248">
        <f>C4+D3</f>
        <v>9240036.6457605101</v>
      </c>
      <c r="E4" s="248">
        <f t="shared" ref="E4:G4" si="2">D4+E3</f>
        <v>50469582.305760518</v>
      </c>
      <c r="F4" s="248">
        <f t="shared" si="2"/>
        <v>118644489.62928344</v>
      </c>
      <c r="G4" s="248">
        <f t="shared" si="2"/>
        <v>173121860.62928343</v>
      </c>
      <c r="H4" s="248">
        <f>G4+H3</f>
        <v>179395964.62928343</v>
      </c>
      <c r="I4" s="248">
        <f t="shared" ref="I4:L4" si="3">H4+I3</f>
        <v>180676001.95608342</v>
      </c>
      <c r="J4" s="248">
        <f t="shared" si="3"/>
        <v>181688540.94119632</v>
      </c>
      <c r="K4" s="248">
        <f t="shared" si="3"/>
        <v>182597995.65663475</v>
      </c>
      <c r="L4" s="248">
        <f t="shared" si="3"/>
        <v>208928156.91093475</v>
      </c>
      <c r="M4" s="580"/>
      <c r="N4" s="394"/>
      <c r="O4" s="242"/>
      <c r="P4" s="377"/>
    </row>
    <row r="5" spans="1:54" x14ac:dyDescent="0.25">
      <c r="B5" s="33" t="e">
        <f>IF(LIMBA="ROMANA","Valoare neta","Net book value")</f>
        <v>#REF!</v>
      </c>
      <c r="C5" s="248">
        <f>C3-C58</f>
        <v>5572769.4749999996</v>
      </c>
      <c r="D5" s="248">
        <f>C5+D3-D58</f>
        <v>8866144.2046164945</v>
      </c>
      <c r="E5" s="248">
        <f>D5+E3-E58</f>
        <v>48833950.306972489</v>
      </c>
      <c r="F5" s="248">
        <f>E5+F3-F58</f>
        <v>114042745.38976333</v>
      </c>
      <c r="G5" s="248">
        <f>F5+G3-G58</f>
        <v>164188263.54903123</v>
      </c>
      <c r="H5" s="248">
        <f>G5+H3-H58</f>
        <v>165972263.03329915</v>
      </c>
      <c r="I5" s="248">
        <f t="shared" ref="I5:L5" si="4">H5+I3-I58</f>
        <v>162730042.86119705</v>
      </c>
      <c r="J5" s="248">
        <f t="shared" si="4"/>
        <v>159194857.06403005</v>
      </c>
      <c r="K5" s="248">
        <f t="shared" si="4"/>
        <v>155533831.4293026</v>
      </c>
      <c r="L5" s="248">
        <f t="shared" si="4"/>
        <v>176635235.60207924</v>
      </c>
      <c r="M5" s="580"/>
      <c r="N5" s="394"/>
      <c r="P5"/>
    </row>
    <row r="6" spans="1:54" x14ac:dyDescent="0.25">
      <c r="B6" s="95" t="s">
        <v>79</v>
      </c>
      <c r="C6" s="248">
        <f t="shared" ref="C6:G6" si="5">C7+C13+C15+C19+C20+C21</f>
        <v>5715661</v>
      </c>
      <c r="D6" s="248">
        <f t="shared" si="5"/>
        <v>3343811.5808605091</v>
      </c>
      <c r="E6" s="248">
        <f t="shared" si="5"/>
        <v>38979994.014799997</v>
      </c>
      <c r="F6" s="248">
        <f t="shared" si="5"/>
        <v>60497189.15419849</v>
      </c>
      <c r="G6" s="248">
        <f t="shared" si="5"/>
        <v>49881127.311999999</v>
      </c>
      <c r="H6" s="248">
        <f>H7+H13+H15+H19+H20+H21</f>
        <v>6187602.0750000002</v>
      </c>
      <c r="I6" s="248">
        <f t="shared" ref="I6:L6" si="6">I7+I13+I15+I19+I20+I21</f>
        <v>1235778</v>
      </c>
      <c r="J6" s="248">
        <f t="shared" si="6"/>
        <v>884705.23011291702</v>
      </c>
      <c r="K6" s="248">
        <f t="shared" si="6"/>
        <v>824909</v>
      </c>
      <c r="L6" s="248">
        <f t="shared" si="6"/>
        <v>25619808</v>
      </c>
      <c r="M6" s="580"/>
      <c r="N6" s="394"/>
      <c r="P6" s="379"/>
      <c r="Q6" s="378"/>
    </row>
    <row r="7" spans="1:54" s="451" customFormat="1" ht="19.7" customHeight="1" x14ac:dyDescent="0.25">
      <c r="A7" s="447" t="s">
        <v>80</v>
      </c>
      <c r="B7" s="448" t="e">
        <f>IF(LIMBA="ROMANA","Lucrari civile cu santurile (TubeCity), inclusiv: ","Civil works / ditches (TubeCity), including:")</f>
        <v>#REF!</v>
      </c>
      <c r="C7" s="449">
        <f>'CAPEX 2013'!C5+C8+C9-C10</f>
        <v>4661737.609166</v>
      </c>
      <c r="D7" s="449">
        <f>'CAPEX 2013'!D5+D8+D9-D10</f>
        <v>2899934.0695000002</v>
      </c>
      <c r="E7" s="449">
        <f>'CAPEX 2013'!E5+E8+E9-E10</f>
        <v>32838185.634099994</v>
      </c>
      <c r="F7" s="449">
        <f>'CAPEX 2013'!F5+F8+F9-F10</f>
        <v>54913973.533399999</v>
      </c>
      <c r="G7" s="449">
        <f>'CAPEX 2013'!G5+G8+G9-G10</f>
        <v>46881700.535999998</v>
      </c>
      <c r="H7" s="449">
        <f>'CAPEX 2013'!H5+H8+H9-H10</f>
        <v>5367393.3909999998</v>
      </c>
      <c r="I7" s="474">
        <v>882966</v>
      </c>
      <c r="J7" s="449">
        <v>764445.68991291698</v>
      </c>
      <c r="K7" s="474">
        <v>747712</v>
      </c>
      <c r="L7" s="477">
        <v>21227356</v>
      </c>
      <c r="M7" s="444">
        <f t="shared" ref="M7:M21" si="7">SUMPRODUCT(C7:L7,$C$1:$L$1)</f>
        <v>39627936.886301301</v>
      </c>
      <c r="N7" s="450">
        <f>-PMT('Ipoteze de lucru'!$C$3,'Ipoteze de lucru'!$C$22,'1. CAPEX'!M7)</f>
        <v>4314148.1080614813</v>
      </c>
    </row>
    <row r="8" spans="1:54" ht="15" customHeight="1" x14ac:dyDescent="0.25">
      <c r="A8" s="321" t="s">
        <v>81</v>
      </c>
      <c r="B8" s="39" t="e">
        <f>IF(LIMBA="ROMANA","Salarii capitalizate pe TubeCity","Salaries capitalized to TubeCity for the year")</f>
        <v>#REF!</v>
      </c>
      <c r="C8" s="250">
        <f>'CAPEX 2013'!C6</f>
        <v>179902.69</v>
      </c>
      <c r="D8" s="250">
        <f>'CAPEX 2013'!D6</f>
        <v>549457.62</v>
      </c>
      <c r="E8" s="250">
        <f>'CAPEX 2013'!E6</f>
        <v>700140.80000000016</v>
      </c>
      <c r="F8" s="250">
        <f>'CAPEX 2013'!F6</f>
        <v>2656398</v>
      </c>
      <c r="G8" s="250">
        <f>'CAPEX 2013'!G6-G14</f>
        <v>1163183</v>
      </c>
      <c r="H8" s="250">
        <f>'CAPEX 2013'!H6-H14</f>
        <v>865321</v>
      </c>
      <c r="I8" s="472">
        <v>402558</v>
      </c>
      <c r="J8" s="250">
        <v>289736</v>
      </c>
      <c r="K8" s="472">
        <v>402224</v>
      </c>
      <c r="L8" s="472">
        <v>977711</v>
      </c>
      <c r="M8" s="580">
        <f t="shared" si="7"/>
        <v>1887856.9284230131</v>
      </c>
      <c r="N8" s="394">
        <f>-PMT('Ipoteze de lucru'!$C$3,'Ipoteze de lucru'!$C$22,'1. CAPEX'!M8)</f>
        <v>205524.05792445663</v>
      </c>
    </row>
    <row r="9" spans="1:54" ht="15" customHeight="1" x14ac:dyDescent="0.25">
      <c r="B9" s="39" t="e">
        <f>IF(LIMBA="ROMANA","Cota ISC de constructie","Construction Quota (ISC) for the year")</f>
        <v>#REF!</v>
      </c>
      <c r="C9" s="250">
        <v>0</v>
      </c>
      <c r="D9" s="250">
        <v>0</v>
      </c>
      <c r="E9" s="250">
        <f>'CAPEX 2013'!E7</f>
        <v>489243.45999999996</v>
      </c>
      <c r="F9" s="250">
        <f>'CAPEX 2013'!F7</f>
        <v>550670</v>
      </c>
      <c r="G9" s="250">
        <f>'CAPEX 2013'!G7</f>
        <v>45231</v>
      </c>
      <c r="H9" s="250">
        <f>'CAPEX 2013'!H7</f>
        <v>0</v>
      </c>
      <c r="I9" s="250"/>
      <c r="J9" s="250"/>
      <c r="K9" s="250"/>
      <c r="L9" s="250">
        <v>0</v>
      </c>
      <c r="M9" s="580">
        <f t="shared" si="7"/>
        <v>256302.54861532451</v>
      </c>
      <c r="N9" s="394">
        <f>-PMT('Ipoteze de lucru'!$C$3,'Ipoteze de lucru'!$C$22,'1. CAPEX'!M9)</f>
        <v>27902.718185219703</v>
      </c>
    </row>
    <row r="10" spans="1:54" s="280" customFormat="1" ht="15" customHeight="1" x14ac:dyDescent="0.25">
      <c r="A10" s="322"/>
      <c r="B10" s="301" t="s">
        <v>82</v>
      </c>
      <c r="C10" s="279">
        <v>0</v>
      </c>
      <c r="D10" s="279">
        <f>'Capacitati 2017'!E109*'Ipoteze de lucru'!C11</f>
        <v>211377.71050000002</v>
      </c>
      <c r="E10" s="279">
        <f>'Capacitati 2017'!H109*'Ipoteze de lucru'!C12</f>
        <v>1972510.7559</v>
      </c>
      <c r="F10" s="279">
        <f>'Capacitati 2017'!K109*'Ipoteze de lucru'!C13</f>
        <v>4991627.4665999999</v>
      </c>
      <c r="G10" s="279">
        <f>'Capacitati 2017'!N109*'Ipoteze de lucru'!C14</f>
        <v>3889838.4640000002</v>
      </c>
      <c r="H10" s="279">
        <f>'Capacitati 2017'!Q109*'Ipoteze de lucru'!C15</f>
        <v>61914.608999999997</v>
      </c>
      <c r="I10" s="279">
        <f>('Capacitati 2017'!T109)*'Ipoteze de lucru'!C16</f>
        <v>28809.897200000003</v>
      </c>
      <c r="J10" s="279">
        <f>'Capacitati 2017'!W109*'Ipoteze de lucru'!C17</f>
        <v>88744.425000000003</v>
      </c>
      <c r="K10" s="279">
        <f>'Capacitati 2017'!Z109*'Ipoteze de lucru'!C18</f>
        <v>48280.590799999998</v>
      </c>
      <c r="L10" s="279">
        <f>'Capacitati 2017'!AC109*'Ipoteze de lucru'!C19</f>
        <v>638798.53590000002</v>
      </c>
      <c r="M10" s="580">
        <f t="shared" si="7"/>
        <v>2760272</v>
      </c>
      <c r="N10" s="395">
        <f>-PMT('Ipoteze de lucru'!$C$3,'Ipoteze de lucru'!$C$22,'1. CAPEX'!M10)</f>
        <v>300500.68618766643</v>
      </c>
      <c r="O10" s="302"/>
    </row>
    <row r="11" spans="1:54" s="446" customFormat="1" ht="15" customHeight="1" x14ac:dyDescent="0.25">
      <c r="A11" s="441"/>
      <c r="B11" s="442" t="s">
        <v>83</v>
      </c>
      <c r="C11" s="443">
        <v>0</v>
      </c>
      <c r="D11" s="443">
        <f>'Capacitati 2017'!C109*'Ipoteze de lucru'!C11</f>
        <v>179161.51860000001</v>
      </c>
      <c r="E11" s="443">
        <f>'Capacitati 2017'!F109*'Ipoteze de lucru'!C12</f>
        <v>1186013.0280000002</v>
      </c>
      <c r="F11" s="443">
        <f>'Capacitati 2017'!I109*'Ipoteze de lucru'!C13</f>
        <v>3622230.6017</v>
      </c>
      <c r="G11" s="443">
        <f>'Capacitati 2017'!L109*'Ipoteze de lucru'!C14</f>
        <v>1835644.7440000002</v>
      </c>
      <c r="H11" s="443">
        <f>'Capacitati 2017'!O109*'Ipoteze de lucru'!C15</f>
        <v>35983.916999999994</v>
      </c>
      <c r="I11" s="443">
        <f>'Capacitati 2017'!R109*'Ipoteze de lucru'!C16</f>
        <v>17565.0592</v>
      </c>
      <c r="J11" s="443">
        <f>'Capacitati 2017'!U109*'Ipoteze de lucru'!C17</f>
        <v>55669.18</v>
      </c>
      <c r="K11" s="443">
        <f>'Capacitati 2017'!X109*'Ipoteze de lucru'!C18</f>
        <v>32845.711199999998</v>
      </c>
      <c r="L11" s="443">
        <f>'Capacitati 2017'!AA109*'Ipoteze de lucru'!C19</f>
        <v>424842.4362</v>
      </c>
      <c r="M11" s="444">
        <f t="shared" si="7"/>
        <v>1715609.0000000002</v>
      </c>
      <c r="N11" s="445">
        <f>-PMT('Ipoteze de lucru'!$C$3,'Ipoteze de lucru'!$C$22,'1. CAPEX'!M11)</f>
        <v>186772.05787318654</v>
      </c>
    </row>
    <row r="12" spans="1:54" s="446" customFormat="1" ht="15" customHeight="1" x14ac:dyDescent="0.25">
      <c r="A12" s="441"/>
      <c r="B12" s="442" t="s">
        <v>84</v>
      </c>
      <c r="C12" s="443">
        <v>0</v>
      </c>
      <c r="D12" s="443">
        <f>'Capacitati 2017'!D109*'Ipoteze de lucru'!C11</f>
        <v>32216.191900000002</v>
      </c>
      <c r="E12" s="443">
        <f>'Capacitati 2017'!G109*'Ipoteze de lucru'!C12</f>
        <v>786497.72790000006</v>
      </c>
      <c r="F12" s="443">
        <f>'Capacitati 2017'!J109*'Ipoteze de lucru'!C13</f>
        <v>1369396.8648999999</v>
      </c>
      <c r="G12" s="443">
        <f>'Capacitati 2017'!M109*'Ipoteze de lucru'!C14</f>
        <v>2054193.7200000002</v>
      </c>
      <c r="H12" s="443">
        <f>'Capacitati 2017'!P109*'Ipoteze de lucru'!C15</f>
        <v>25930.691999999999</v>
      </c>
      <c r="I12" s="443">
        <f>'Capacitati 2017'!S109*'Ipoteze de lucru'!C16</f>
        <v>11244.838000000002</v>
      </c>
      <c r="J12" s="443">
        <f>'Capacitati 2017'!V109*'Ipoteze de lucru'!C17</f>
        <v>33075.245000000003</v>
      </c>
      <c r="K12" s="443">
        <f>'Capacitati 2017'!Y109*'Ipoteze de lucru'!C18</f>
        <v>15434.8796</v>
      </c>
      <c r="L12" s="443">
        <f>'Capacitati 2017'!AB109*'Ipoteze de lucru'!C19</f>
        <v>213956.09970000002</v>
      </c>
      <c r="M12" s="444">
        <f t="shared" si="7"/>
        <v>1044663</v>
      </c>
      <c r="N12" s="445">
        <f>-PMT('Ipoteze de lucru'!$C$3,'Ipoteze de lucru'!$C$22,'1. CAPEX'!M12)</f>
        <v>113728.62831447995</v>
      </c>
    </row>
    <row r="13" spans="1:54" s="451" customFormat="1" x14ac:dyDescent="0.25">
      <c r="A13" s="447" t="s">
        <v>51</v>
      </c>
      <c r="B13" s="448" t="e">
        <f>IF(LIMBA="ROMANA","Lucrari civile (FiberCity), din care: ","Civil works  (Fibercity), out of which:")</f>
        <v>#REF!</v>
      </c>
      <c r="C13" s="449">
        <v>0</v>
      </c>
      <c r="D13" s="449">
        <v>0</v>
      </c>
      <c r="E13" s="449">
        <v>0</v>
      </c>
      <c r="F13" s="449">
        <v>0</v>
      </c>
      <c r="G13" s="449">
        <f>'CAPEX 2013'!G9+G14</f>
        <v>597258</v>
      </c>
      <c r="H13" s="449">
        <f>'CAPEX 2013'!H9+H14</f>
        <v>5632</v>
      </c>
      <c r="I13" s="474">
        <v>25009</v>
      </c>
      <c r="J13" s="449">
        <v>5884.91</v>
      </c>
      <c r="K13" s="449"/>
      <c r="L13" s="474">
        <v>6942</v>
      </c>
      <c r="M13" s="444">
        <f t="shared" si="7"/>
        <v>143779.49296365352</v>
      </c>
      <c r="N13" s="450">
        <f>-PMT('Ipoteze de lucru'!$C$3,'Ipoteze de lucru'!$C$22,'1. CAPEX'!M13)</f>
        <v>15652.745923333874</v>
      </c>
      <c r="O13" s="452"/>
    </row>
    <row r="14" spans="1:54" x14ac:dyDescent="0.25">
      <c r="A14" s="321" t="s">
        <v>81</v>
      </c>
      <c r="B14" s="39" t="e">
        <f>IF(LIMBA="ROMANA","Salarii capitalizate pe FiberCity","Salaries capitalized to FiberCity")</f>
        <v>#REF!</v>
      </c>
      <c r="C14" s="250">
        <v>0</v>
      </c>
      <c r="D14" s="250">
        <v>0</v>
      </c>
      <c r="E14" s="250">
        <v>0</v>
      </c>
      <c r="F14" s="250">
        <v>0</v>
      </c>
      <c r="G14" s="472">
        <v>530275</v>
      </c>
      <c r="H14" s="250">
        <v>0</v>
      </c>
      <c r="I14" s="472">
        <v>24491</v>
      </c>
      <c r="J14" s="250">
        <v>5884.91</v>
      </c>
      <c r="K14" s="250"/>
      <c r="L14" s="472">
        <v>5831</v>
      </c>
      <c r="M14" s="580">
        <f t="shared" si="7"/>
        <v>127113.15065233299</v>
      </c>
      <c r="N14" s="394">
        <f>-PMT('Ipoteze de lucru'!$C$3,'Ipoteze de lucru'!$C$22,'1. CAPEX'!M14)</f>
        <v>13838.342378759153</v>
      </c>
    </row>
    <row r="15" spans="1:54" s="451" customFormat="1" ht="18.600000000000001" customHeight="1" x14ac:dyDescent="0.25">
      <c r="A15" s="447" t="s">
        <v>85</v>
      </c>
      <c r="B15" s="448" t="e">
        <f>IF(LIMBA="ROMANA","Materiale (fara materiale specifice FiberCity, camere de tragere)","Materials for the year (without materials specific for Fibercity, manholes)")</f>
        <v>#REF!</v>
      </c>
      <c r="C15" s="449">
        <f>'CAPEX 2013'!C10-C16</f>
        <v>1053923.390834</v>
      </c>
      <c r="D15" s="449">
        <f>'CAPEX 2013'!D10-D16</f>
        <v>443877.51136050897</v>
      </c>
      <c r="E15" s="449">
        <f>'CAPEX 2013'!E10-E16</f>
        <v>6141808.3807000061</v>
      </c>
      <c r="F15" s="449">
        <f>'CAPEX 2013'!F10-F16-F84-F85</f>
        <v>5583215.6207984909</v>
      </c>
      <c r="G15" s="449">
        <f>'CAPEX 2013'!G10-G16</f>
        <v>2249915.7760000001</v>
      </c>
      <c r="H15" s="449">
        <f>'CAPEX 2013'!H10-H16</f>
        <v>435044.68400000001</v>
      </c>
      <c r="I15" s="474">
        <v>321721</v>
      </c>
      <c r="J15" s="449">
        <v>108222.28020000002</v>
      </c>
      <c r="K15" s="474">
        <v>76429</v>
      </c>
      <c r="L15" s="476">
        <v>4046923</v>
      </c>
      <c r="M15" s="444">
        <f>SUMPRODUCT(C15:L15,$C$1:$L$1)</f>
        <v>4770309.2742656954</v>
      </c>
      <c r="N15" s="450">
        <f>-PMT('Ipoteze de lucru'!$C$3,'Ipoteze de lucru'!$C$23,'1. CAPEX'!M15)</f>
        <v>519326.07012795506</v>
      </c>
    </row>
    <row r="16" spans="1:54" s="280" customFormat="1" x14ac:dyDescent="0.25">
      <c r="A16" s="322"/>
      <c r="B16" s="303" t="s">
        <v>86</v>
      </c>
      <c r="C16" s="279">
        <v>0</v>
      </c>
      <c r="D16" s="279">
        <f>('Capacitati 2017'!E77-'Capacitati 2017'!E109)*'Ipoteze de lucru'!C11</f>
        <v>-30813.645600000003</v>
      </c>
      <c r="E16" s="279">
        <f>('Capacitati 2017'!H77-'Capacitati 2017'!H109)*'Ipoteze de lucru'!C12</f>
        <v>277040.88930000004</v>
      </c>
      <c r="F16" s="279">
        <f>('Capacitati 2017'!K77-'Capacitati 2017'!K109)*'Ipoteze de lucru'!C13</f>
        <v>2686090.7027244344</v>
      </c>
      <c r="G16" s="279">
        <f>('Capacitati 2017'!N77-'Capacitati 2017'!N109)*'Ipoteze de lucru'!C14</f>
        <v>706405.22400000005</v>
      </c>
      <c r="H16" s="279">
        <f>('Capacitati 2017'!Q77-'Capacitati 2017'!Q109)*'Ipoteze de lucru'!C15+('Capacitati 2017'!N77-'Capacitati 2017'!N109)*'Ipoteze de lucru'!C14-G16</f>
        <v>24587.315999999992</v>
      </c>
      <c r="I16" s="279">
        <f>('Capacitati 2017'!T77-'Capacitati 2017'!T109)*'Ipoteze de lucru'!C16</f>
        <v>15449.429600000001</v>
      </c>
      <c r="J16" s="279">
        <f>('Capacitati 2017'!W77-'Capacitati 2017'!W109)*'Ipoteze de lucru'!C17</f>
        <v>39089.33</v>
      </c>
      <c r="K16" s="279">
        <f>('Capacitati 2017'!Z77-'Capacitati 2017'!Z109)*'Ipoteze de lucru'!C18</f>
        <v>36265.124638419817</v>
      </c>
      <c r="L16" s="279">
        <f>('Capacitati 2017'!AC77-'Capacitati 2017'!AC109)*'Ipoteze de lucru'!C19</f>
        <v>71554.718399999998</v>
      </c>
      <c r="M16" s="580">
        <f t="shared" si="7"/>
        <v>892463.30773254135</v>
      </c>
      <c r="N16" s="395">
        <f>-PMT('Ipoteze de lucru'!$C$3,'Ipoteze de lucru'!$C$23,'1. CAPEX'!M16)</f>
        <v>97159.206183645379</v>
      </c>
    </row>
    <row r="17" spans="1:24" s="446" customFormat="1" x14ac:dyDescent="0.25">
      <c r="A17" s="441"/>
      <c r="B17" s="442" t="s">
        <v>83</v>
      </c>
      <c r="C17" s="453">
        <v>0</v>
      </c>
      <c r="D17" s="454">
        <f>P17*'Ipoteze de lucru'!C$11</f>
        <v>-24432.271800000002</v>
      </c>
      <c r="E17" s="454">
        <f>Q17*'Ipoteze de lucru'!C$12</f>
        <v>635400.20700000005</v>
      </c>
      <c r="F17" s="454">
        <f>R17*'Ipoteze de lucru'!C$13</f>
        <v>760364.01799999992</v>
      </c>
      <c r="G17" s="454">
        <f>S17*'Ipoteze de lucru'!C$14</f>
        <v>1128785.0080000001</v>
      </c>
      <c r="H17" s="454">
        <f>T17*'Ipoteze de lucru'!C$15</f>
        <v>20813.489999999998</v>
      </c>
      <c r="I17" s="454">
        <f>U17*'Ipoteze de lucru'!C$16</f>
        <v>3995.6954000000005</v>
      </c>
      <c r="J17" s="454">
        <f>V17*'Ipoteze de lucru'!C$17</f>
        <v>19117.945</v>
      </c>
      <c r="K17" s="454">
        <f>W17*'Ipoteze de lucru'!C$18</f>
        <v>21205.5576</v>
      </c>
      <c r="L17" s="454">
        <f>X17*'Ipoteze de lucru'!C$19</f>
        <v>86574.631200000003</v>
      </c>
      <c r="M17" s="444">
        <f t="shared" si="7"/>
        <v>611486</v>
      </c>
      <c r="N17" s="445">
        <f>-PMT('Ipoteze de lucru'!$C$3,'Ipoteze de lucru'!$C$23,'1. CAPEX'!M17)</f>
        <v>66570.237496214657</v>
      </c>
      <c r="P17" s="443">
        <f>('Capacitati 2017'!C77-'Capacitati 2017'!C109)</f>
        <v>-5766</v>
      </c>
      <c r="Q17" s="443">
        <f>('Capacitati 2017'!F77-'Capacitati 2017'!F109)</f>
        <v>150930</v>
      </c>
      <c r="R17" s="443">
        <f>('Capacitati 2017'!I77-'Capacitati 2017'!I109)</f>
        <v>179420</v>
      </c>
      <c r="S17" s="443">
        <f>('Capacitati 2017'!L77-'Capacitati 2017'!L109)</f>
        <v>253318</v>
      </c>
      <c r="T17" s="443">
        <f>('Capacitati 2017'!O77-'Capacitati 2017'!O109)</f>
        <v>4710</v>
      </c>
      <c r="U17" s="443">
        <f>('Capacitati 2017'!R77-'Capacitati 2017'!R109)</f>
        <v>899</v>
      </c>
      <c r="V17" s="443">
        <f>('Capacitati 2017'!U77-'Capacitati 2017'!U109)</f>
        <v>4301</v>
      </c>
      <c r="W17" s="443">
        <f>('Capacitati 2017'!X77-'Capacitati 2017'!X109)</f>
        <v>4722</v>
      </c>
      <c r="X17" s="443">
        <f>('Capacitati 2017'!AA77-'Capacitati 2017'!AA109)</f>
        <v>18952</v>
      </c>
    </row>
    <row r="18" spans="1:24" s="446" customFormat="1" x14ac:dyDescent="0.25">
      <c r="A18" s="441"/>
      <c r="B18" s="442" t="s">
        <v>84</v>
      </c>
      <c r="C18" s="453">
        <v>0</v>
      </c>
      <c r="D18" s="454">
        <f>P18*'Ipoteze de lucru'!C$11</f>
        <v>-6381.3738000000003</v>
      </c>
      <c r="E18" s="454">
        <f>Q18*'Ipoteze de lucru'!C$12</f>
        <v>-358359.31770000001</v>
      </c>
      <c r="F18" s="454">
        <f>R18*'Ipoteze de lucru'!C$13</f>
        <v>1111838.4923999999</v>
      </c>
      <c r="G18" s="454">
        <f>S18*'Ipoteze de lucru'!C$14</f>
        <v>-422379.78400000004</v>
      </c>
      <c r="H18" s="454">
        <f>T18*'Ipoteze de lucru'!C$15</f>
        <v>3773.8259999999996</v>
      </c>
      <c r="I18" s="454">
        <f>U18*'Ipoteze de lucru'!C$16</f>
        <v>11453.734200000001</v>
      </c>
      <c r="J18" s="454">
        <f>V18*'Ipoteze de lucru'!C$17</f>
        <v>19971.385000000002</v>
      </c>
      <c r="K18" s="454">
        <f>W18*'Ipoteze de lucru'!C$18</f>
        <v>15059.567038419813</v>
      </c>
      <c r="L18" s="454">
        <f>X18*'Ipoteze de lucru'!C$19</f>
        <v>-15019.9128</v>
      </c>
      <c r="M18" s="444">
        <f t="shared" si="7"/>
        <v>88927.426346846842</v>
      </c>
      <c r="N18" s="445">
        <f>-PMT('Ipoteze de lucru'!$C$3,'Ipoteze de lucru'!$C$23,'1. CAPEX'!M18)</f>
        <v>9681.202663408043</v>
      </c>
      <c r="P18" s="443">
        <f>('Capacitati 2017'!D77-'Capacitati 2017'!D109)</f>
        <v>-1506</v>
      </c>
      <c r="Q18" s="443">
        <f>('Capacitati 2017'!G77-'Capacitati 2017'!G109)</f>
        <v>-85123</v>
      </c>
      <c r="R18" s="443">
        <f>('Capacitati 2017'!J77-'Capacitati 2017'!J109)</f>
        <v>262356</v>
      </c>
      <c r="S18" s="443">
        <f>('Capacitati 2017'!M77-'Capacitati 2017'!M109)</f>
        <v>-94789</v>
      </c>
      <c r="T18" s="443">
        <f>('Capacitati 2017'!P77-'Capacitati 2017'!P109)</f>
        <v>854</v>
      </c>
      <c r="U18" s="443">
        <f>('Capacitati 2017'!S77-'Capacitati 2017'!S109)</f>
        <v>2577</v>
      </c>
      <c r="V18" s="443">
        <f>('Capacitati 2017'!V77-'Capacitati 2017'!V109)</f>
        <v>4493</v>
      </c>
      <c r="W18" s="443">
        <f>('Capacitati 2017'!Y77-'Capacitati 2017'!Y109)</f>
        <v>3353.4263468468453</v>
      </c>
      <c r="X18" s="443">
        <f>('Capacitati 2017'!AB77-'Capacitati 2017'!AB109)</f>
        <v>-3288</v>
      </c>
    </row>
    <row r="19" spans="1:24" s="451" customFormat="1" x14ac:dyDescent="0.25">
      <c r="A19" s="447" t="s">
        <v>71</v>
      </c>
      <c r="B19" s="448" t="e">
        <f>IF(LIMBA="ROMANA","Materiale - fibra optica ","Materials for the year - fiber optics")</f>
        <v>#REF!</v>
      </c>
      <c r="C19" s="449">
        <v>0</v>
      </c>
      <c r="D19" s="449">
        <v>0</v>
      </c>
      <c r="E19" s="449">
        <v>0</v>
      </c>
      <c r="F19" s="449">
        <v>0</v>
      </c>
      <c r="G19" s="449">
        <f>'CAPEX 2013'!G11</f>
        <v>86932</v>
      </c>
      <c r="H19" s="449">
        <f>'CAPEX 2013'!H11</f>
        <v>55963</v>
      </c>
      <c r="I19" s="474">
        <v>6082</v>
      </c>
      <c r="J19" s="449">
        <v>6152.3499999999995</v>
      </c>
      <c r="K19" s="474">
        <v>768</v>
      </c>
      <c r="L19" s="474">
        <v>908</v>
      </c>
      <c r="M19" s="444">
        <f t="shared" si="7"/>
        <v>35295.447948296503</v>
      </c>
      <c r="N19" s="450">
        <f>-PMT('Ipoteze de lucru'!$C$3,'Ipoteze de lucru'!$C$24,'1. CAPEX'!M19)</f>
        <v>4345.5923624774996</v>
      </c>
    </row>
    <row r="20" spans="1:24" s="446" customFormat="1" x14ac:dyDescent="0.25">
      <c r="A20" s="441"/>
      <c r="B20" s="455" t="e">
        <f>IF(LIMBA="ROMANA","Alte materiale specifice FiberCity","Other materials for the year specific for FiberCity")</f>
        <v>#REF!</v>
      </c>
      <c r="C20" s="453">
        <v>0</v>
      </c>
      <c r="D20" s="453">
        <v>0</v>
      </c>
      <c r="E20" s="453">
        <v>0</v>
      </c>
      <c r="F20" s="453">
        <v>0</v>
      </c>
      <c r="G20" s="453">
        <f>'CAPEX 2013'!G12</f>
        <v>65321</v>
      </c>
      <c r="H20" s="453">
        <f>'CAPEX 2013'!H12</f>
        <v>0</v>
      </c>
      <c r="I20" s="453">
        <v>0</v>
      </c>
      <c r="J20" s="453">
        <v>0</v>
      </c>
      <c r="K20" s="453">
        <v>0</v>
      </c>
      <c r="L20" s="453"/>
      <c r="M20" s="444">
        <f t="shared" si="7"/>
        <v>14659.111310592458</v>
      </c>
      <c r="N20" s="450">
        <f>-PMT('Ipoteze de lucru'!$C$3,'Ipoteze de lucru'!$C$24,'1. CAPEX'!M20)</f>
        <v>1804.8367666372867</v>
      </c>
    </row>
    <row r="21" spans="1:24" s="276" customFormat="1" x14ac:dyDescent="0.25">
      <c r="A21" s="320" t="s">
        <v>87</v>
      </c>
      <c r="B21" s="95" t="s">
        <v>87</v>
      </c>
      <c r="C21" s="279">
        <v>0</v>
      </c>
      <c r="D21" s="279">
        <v>0</v>
      </c>
      <c r="E21" s="279">
        <v>0</v>
      </c>
      <c r="F21" s="279">
        <v>0</v>
      </c>
      <c r="G21" s="279">
        <v>0</v>
      </c>
      <c r="H21" s="279">
        <f>'CAPEX 2013'!H13</f>
        <v>323569</v>
      </c>
      <c r="I21" s="279">
        <v>0</v>
      </c>
      <c r="J21" s="279">
        <v>0</v>
      </c>
      <c r="K21" s="279">
        <v>0</v>
      </c>
      <c r="L21" s="475">
        <v>337679</v>
      </c>
      <c r="M21" s="580">
        <f t="shared" si="7"/>
        <v>147143.32727684011</v>
      </c>
      <c r="N21" s="395">
        <f>-PMT('Ipoteze de lucru'!$C$3,'Ipoteze de lucru'!$C$22,'1. CAPEX'!M21)</f>
        <v>16018.954224303558</v>
      </c>
      <c r="O21" s="246"/>
    </row>
    <row r="22" spans="1:24" x14ac:dyDescent="0.25">
      <c r="B22" s="35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35"/>
      <c r="N22" s="35"/>
      <c r="O22" s="35"/>
    </row>
    <row r="23" spans="1:24" x14ac:dyDescent="0.25">
      <c r="B23" s="246" t="e">
        <f>IF(LIMBA="ROMANA","Valoare bruta a retelei","Gross Book Value")</f>
        <v>#REF!</v>
      </c>
      <c r="C23" s="285">
        <f>C24+C27+C30+C32+C33+C36+C37</f>
        <v>5715661</v>
      </c>
      <c r="D23" s="285">
        <f t="shared" ref="D23:G23" si="8">D24+D27+D30+D32+D33+D36+D37</f>
        <v>9240036.6457605083</v>
      </c>
      <c r="E23" s="285">
        <f t="shared" si="8"/>
        <v>50469582.305760503</v>
      </c>
      <c r="F23" s="285">
        <f t="shared" si="8"/>
        <v>118644489.62928343</v>
      </c>
      <c r="G23" s="285">
        <f t="shared" si="8"/>
        <v>173121860.62928343</v>
      </c>
      <c r="H23" s="285">
        <f>H24+H27+H30+H32+H33+H36+H37+H38</f>
        <v>179395964.62928343</v>
      </c>
      <c r="I23" s="285">
        <f t="shared" ref="I23:L23" si="9">I24+I27+I30+I32+I33+I36+I37+I38</f>
        <v>180676001.95608342</v>
      </c>
      <c r="J23" s="285">
        <f t="shared" si="9"/>
        <v>181688540.94119632</v>
      </c>
      <c r="K23" s="285">
        <f t="shared" si="9"/>
        <v>182597995.65663475</v>
      </c>
      <c r="L23" s="285">
        <f t="shared" si="9"/>
        <v>208928156.91093472</v>
      </c>
      <c r="M23" s="224"/>
      <c r="N23" s="224"/>
      <c r="O23" s="224"/>
    </row>
    <row r="24" spans="1:24" s="276" customFormat="1" outlineLevel="1" x14ac:dyDescent="0.25">
      <c r="A24" s="319"/>
      <c r="B24" s="278" t="e">
        <f>IF(LIMBA="ROMANA","Lucrari civile cu santurile (TubeCity), inclusiv:","Civil works (Fibercity), including:")</f>
        <v>#REF!</v>
      </c>
      <c r="C24" s="285">
        <f>C7</f>
        <v>4661737.609166</v>
      </c>
      <c r="D24" s="285">
        <f>C24+D7</f>
        <v>7561671.6786660003</v>
      </c>
      <c r="E24" s="285">
        <f>D24+E7</f>
        <v>40399857.312765993</v>
      </c>
      <c r="F24" s="285">
        <f>E24+F7</f>
        <v>95313830.846165985</v>
      </c>
      <c r="G24" s="285">
        <f>F24+G7</f>
        <v>142195531.38216597</v>
      </c>
      <c r="H24" s="285">
        <f>G24+H7</f>
        <v>147562924.77316597</v>
      </c>
      <c r="I24" s="285">
        <f t="shared" ref="I24:L25" si="10">H24+I7</f>
        <v>148445890.77316597</v>
      </c>
      <c r="J24" s="285">
        <f t="shared" si="10"/>
        <v>149210336.46307889</v>
      </c>
      <c r="K24" s="285">
        <f t="shared" si="10"/>
        <v>149958048.46307889</v>
      </c>
      <c r="L24" s="285">
        <f t="shared" si="10"/>
        <v>171185404.46307889</v>
      </c>
      <c r="M24" s="246"/>
      <c r="N24" s="246"/>
      <c r="O24" s="246"/>
    </row>
    <row r="25" spans="1:24" outlineLevel="1" x14ac:dyDescent="0.25">
      <c r="B25" s="39" t="e">
        <f>IF(LIMBA="ROMANA","Salarii capitalizate pe TubeCity","Salaries capitalized to TubeCity for the year")</f>
        <v>#REF!</v>
      </c>
      <c r="C25" s="250">
        <f>C8</f>
        <v>179902.69</v>
      </c>
      <c r="D25" s="250">
        <f t="shared" ref="D25:H38" si="11">C25+D8</f>
        <v>729360.31</v>
      </c>
      <c r="E25" s="250">
        <f t="shared" si="11"/>
        <v>1429501.1100000003</v>
      </c>
      <c r="F25" s="250">
        <f t="shared" si="11"/>
        <v>4085899.1100000003</v>
      </c>
      <c r="G25" s="250">
        <f t="shared" si="11"/>
        <v>5249082.1100000003</v>
      </c>
      <c r="H25" s="250">
        <f t="shared" si="11"/>
        <v>6114403.1100000003</v>
      </c>
      <c r="I25" s="250">
        <f t="shared" si="10"/>
        <v>6516961.1100000003</v>
      </c>
      <c r="J25" s="250">
        <f t="shared" si="10"/>
        <v>6806697.1100000003</v>
      </c>
      <c r="K25" s="250">
        <f t="shared" si="10"/>
        <v>7208921.1100000003</v>
      </c>
      <c r="L25" s="250">
        <f t="shared" si="10"/>
        <v>8186632.1100000003</v>
      </c>
      <c r="M25" s="35"/>
      <c r="N25" s="35"/>
      <c r="O25" s="35"/>
    </row>
    <row r="26" spans="1:24" outlineLevel="1" x14ac:dyDescent="0.25">
      <c r="B26" s="39" t="e">
        <f>IF(LIMBA="ROMANA","Taxe ISC de constructie","Construction Taxes (ISC) for the year")</f>
        <v>#REF!</v>
      </c>
      <c r="C26" s="250">
        <f>C9</f>
        <v>0</v>
      </c>
      <c r="D26" s="250">
        <f t="shared" si="11"/>
        <v>0</v>
      </c>
      <c r="E26" s="250">
        <f t="shared" si="11"/>
        <v>489243.45999999996</v>
      </c>
      <c r="F26" s="250">
        <f t="shared" si="11"/>
        <v>1039913.46</v>
      </c>
      <c r="G26" s="250">
        <f t="shared" si="11"/>
        <v>1085144.46</v>
      </c>
      <c r="H26" s="250">
        <f t="shared" si="11"/>
        <v>1085144.46</v>
      </c>
      <c r="I26" s="250"/>
      <c r="J26" s="250"/>
      <c r="K26" s="250"/>
      <c r="L26" s="250"/>
      <c r="M26" s="35"/>
      <c r="N26" s="35"/>
      <c r="O26" s="35"/>
    </row>
    <row r="27" spans="1:24" s="276" customFormat="1" outlineLevel="1" x14ac:dyDescent="0.25">
      <c r="A27" s="319"/>
      <c r="B27" s="283" t="s">
        <v>82</v>
      </c>
      <c r="C27" s="279">
        <f>C13</f>
        <v>0</v>
      </c>
      <c r="D27" s="279">
        <f t="shared" si="11"/>
        <v>211377.71050000002</v>
      </c>
      <c r="E27" s="279">
        <f>D27+E10</f>
        <v>2183888.4663999998</v>
      </c>
      <c r="F27" s="279">
        <f>E27+F10</f>
        <v>7175515.9330000002</v>
      </c>
      <c r="G27" s="279">
        <f>F27+G10</f>
        <v>11065354.397</v>
      </c>
      <c r="H27" s="279">
        <f>G27+H10</f>
        <v>11127269.005999999</v>
      </c>
      <c r="I27" s="279">
        <f t="shared" ref="I27:L38" si="12">H27+I10</f>
        <v>11156078.903199999</v>
      </c>
      <c r="J27" s="279">
        <f t="shared" si="12"/>
        <v>11244823.328199999</v>
      </c>
      <c r="K27" s="279">
        <f t="shared" si="12"/>
        <v>11293103.919</v>
      </c>
      <c r="L27" s="279">
        <f t="shared" si="12"/>
        <v>11931902.4549</v>
      </c>
      <c r="M27" s="246"/>
      <c r="N27" s="246"/>
      <c r="O27" s="246"/>
      <c r="P27" s="287"/>
    </row>
    <row r="28" spans="1:24" outlineLevel="1" x14ac:dyDescent="0.25">
      <c r="B28" s="115" t="s">
        <v>83</v>
      </c>
      <c r="C28" s="250">
        <f>C11</f>
        <v>0</v>
      </c>
      <c r="D28" s="250">
        <f t="shared" si="11"/>
        <v>179161.51860000001</v>
      </c>
      <c r="E28" s="250">
        <f t="shared" si="11"/>
        <v>1365174.5466000002</v>
      </c>
      <c r="F28" s="250">
        <f t="shared" si="11"/>
        <v>4987405.1483000005</v>
      </c>
      <c r="G28" s="250">
        <f t="shared" si="11"/>
        <v>6823049.8923000004</v>
      </c>
      <c r="H28" s="250">
        <f t="shared" si="11"/>
        <v>6859033.8093000008</v>
      </c>
      <c r="I28" s="250">
        <f t="shared" si="12"/>
        <v>6876598.8685000008</v>
      </c>
      <c r="J28" s="250">
        <f t="shared" si="12"/>
        <v>6932268.0485000005</v>
      </c>
      <c r="K28" s="250">
        <f t="shared" si="12"/>
        <v>6965113.7597000003</v>
      </c>
      <c r="L28" s="250">
        <f t="shared" si="12"/>
        <v>7389956.1959000006</v>
      </c>
      <c r="M28" s="35"/>
      <c r="N28" s="35"/>
      <c r="O28" s="35"/>
      <c r="P28" s="41"/>
    </row>
    <row r="29" spans="1:24" outlineLevel="1" x14ac:dyDescent="0.25">
      <c r="B29" s="115" t="s">
        <v>84</v>
      </c>
      <c r="C29" s="250">
        <f>C12</f>
        <v>0</v>
      </c>
      <c r="D29" s="250">
        <f t="shared" si="11"/>
        <v>32216.191900000002</v>
      </c>
      <c r="E29" s="250">
        <f t="shared" si="11"/>
        <v>818713.91980000003</v>
      </c>
      <c r="F29" s="250">
        <f t="shared" si="11"/>
        <v>2188110.7846999997</v>
      </c>
      <c r="G29" s="250">
        <f t="shared" si="11"/>
        <v>4242304.5046999995</v>
      </c>
      <c r="H29" s="250">
        <f t="shared" si="11"/>
        <v>4268235.1966999993</v>
      </c>
      <c r="I29" s="250">
        <f t="shared" si="12"/>
        <v>4279480.0346999997</v>
      </c>
      <c r="J29" s="250">
        <f t="shared" si="12"/>
        <v>4312555.2796999998</v>
      </c>
      <c r="K29" s="250">
        <f t="shared" si="12"/>
        <v>4327990.1592999995</v>
      </c>
      <c r="L29" s="250">
        <f t="shared" si="12"/>
        <v>4541946.2589999996</v>
      </c>
      <c r="M29" s="35"/>
      <c r="N29" s="35"/>
      <c r="O29" s="35"/>
      <c r="P29" s="41"/>
    </row>
    <row r="30" spans="1:24" s="276" customFormat="1" outlineLevel="1" x14ac:dyDescent="0.25">
      <c r="A30" s="319"/>
      <c r="B30" s="278" t="e">
        <f>IF(LIMBA="ROMANA","Lucrari civile (FiberCity), din care: ","Civil works  (Fibercity), out of which:")</f>
        <v>#REF!</v>
      </c>
      <c r="C30" s="279">
        <f>C14</f>
        <v>0</v>
      </c>
      <c r="D30" s="279">
        <f t="shared" si="11"/>
        <v>0</v>
      </c>
      <c r="E30" s="279">
        <f>D30+E13</f>
        <v>0</v>
      </c>
      <c r="F30" s="279">
        <f>E30+F13</f>
        <v>0</v>
      </c>
      <c r="G30" s="279">
        <f>F30+G13</f>
        <v>597258</v>
      </c>
      <c r="H30" s="279">
        <f>G30+H13</f>
        <v>602890</v>
      </c>
      <c r="I30" s="279">
        <f t="shared" si="12"/>
        <v>627899</v>
      </c>
      <c r="J30" s="279">
        <f t="shared" si="12"/>
        <v>633783.91</v>
      </c>
      <c r="K30" s="279">
        <f t="shared" si="12"/>
        <v>633783.91</v>
      </c>
      <c r="L30" s="279">
        <f t="shared" si="12"/>
        <v>640725.91</v>
      </c>
      <c r="M30" s="246"/>
      <c r="N30" s="246"/>
      <c r="O30" s="246"/>
      <c r="P30" s="287"/>
    </row>
    <row r="31" spans="1:24" outlineLevel="1" x14ac:dyDescent="0.25">
      <c r="B31" s="39" t="e">
        <f>IF(LIMBA="ROMANA","Salarii capitalizate pe FiberCity","Salaries capitalized to FiberCity")</f>
        <v>#REF!</v>
      </c>
      <c r="C31" s="250">
        <f t="shared" ref="C31:C38" si="13">C14</f>
        <v>0</v>
      </c>
      <c r="D31" s="250">
        <f t="shared" si="11"/>
        <v>0</v>
      </c>
      <c r="E31" s="250">
        <f t="shared" si="11"/>
        <v>0</v>
      </c>
      <c r="F31" s="250">
        <f t="shared" si="11"/>
        <v>0</v>
      </c>
      <c r="G31" s="250">
        <f t="shared" si="11"/>
        <v>530275</v>
      </c>
      <c r="H31" s="250">
        <f t="shared" si="11"/>
        <v>530275</v>
      </c>
      <c r="I31" s="250">
        <f t="shared" si="12"/>
        <v>554766</v>
      </c>
      <c r="J31" s="250">
        <f t="shared" si="12"/>
        <v>560650.91</v>
      </c>
      <c r="K31" s="250">
        <f t="shared" si="12"/>
        <v>560650.91</v>
      </c>
      <c r="L31" s="250">
        <f t="shared" si="12"/>
        <v>566481.91</v>
      </c>
      <c r="M31" s="35"/>
      <c r="N31" s="35"/>
      <c r="O31" s="35"/>
      <c r="P31" s="41"/>
    </row>
    <row r="32" spans="1:24" s="276" customFormat="1" outlineLevel="1" x14ac:dyDescent="0.25">
      <c r="A32" s="319"/>
      <c r="B32" s="278" t="e">
        <f>IF(LIMBA="ROMANA","Materiale (fara materiale specifice FiberCity, camere de tragere)","Materials for the year (without materials specific for Fibercity, manholes)")</f>
        <v>#REF!</v>
      </c>
      <c r="C32" s="279">
        <f t="shared" si="13"/>
        <v>1053923.390834</v>
      </c>
      <c r="D32" s="279">
        <f t="shared" si="11"/>
        <v>1497800.9021945088</v>
      </c>
      <c r="E32" s="279">
        <f t="shared" si="11"/>
        <v>7639609.2828945145</v>
      </c>
      <c r="F32" s="279">
        <f t="shared" si="11"/>
        <v>13222824.903693005</v>
      </c>
      <c r="G32" s="279">
        <f t="shared" si="11"/>
        <v>15472740.679693006</v>
      </c>
      <c r="H32" s="279">
        <f t="shared" si="11"/>
        <v>15907785.363693006</v>
      </c>
      <c r="I32" s="279">
        <f t="shared" si="12"/>
        <v>16229506.363693006</v>
      </c>
      <c r="J32" s="279">
        <f t="shared" si="12"/>
        <v>16337728.643893007</v>
      </c>
      <c r="K32" s="279">
        <f t="shared" si="12"/>
        <v>16414157.643893007</v>
      </c>
      <c r="L32" s="279">
        <f t="shared" si="12"/>
        <v>20461080.643893007</v>
      </c>
      <c r="M32" s="226" t="s">
        <v>88</v>
      </c>
      <c r="N32" s="226"/>
      <c r="O32" s="226"/>
      <c r="P32" s="226"/>
    </row>
    <row r="33" spans="1:16" s="276" customFormat="1" outlineLevel="1" x14ac:dyDescent="0.25">
      <c r="A33" s="319"/>
      <c r="B33" s="278" t="s">
        <v>86</v>
      </c>
      <c r="C33" s="279">
        <f t="shared" si="13"/>
        <v>0</v>
      </c>
      <c r="D33" s="279">
        <f t="shared" si="11"/>
        <v>-30813.645600000003</v>
      </c>
      <c r="E33" s="279">
        <f t="shared" si="11"/>
        <v>246227.24370000005</v>
      </c>
      <c r="F33" s="279">
        <f t="shared" si="11"/>
        <v>2932317.9464244344</v>
      </c>
      <c r="G33" s="279">
        <f t="shared" si="11"/>
        <v>3638723.1704244344</v>
      </c>
      <c r="H33" s="279">
        <f t="shared" si="11"/>
        <v>3663310.4864244345</v>
      </c>
      <c r="I33" s="279">
        <f t="shared" si="12"/>
        <v>3678759.9160244344</v>
      </c>
      <c r="J33" s="279">
        <f t="shared" si="12"/>
        <v>3717849.2460244345</v>
      </c>
      <c r="K33" s="279">
        <f t="shared" si="12"/>
        <v>3754114.3706628541</v>
      </c>
      <c r="L33" s="279">
        <f t="shared" si="12"/>
        <v>3825669.0890628542</v>
      </c>
      <c r="M33" s="226" t="s">
        <v>89</v>
      </c>
      <c r="N33" s="226"/>
      <c r="O33" s="226"/>
      <c r="P33" s="226" t="s">
        <v>90</v>
      </c>
    </row>
    <row r="34" spans="1:16" outlineLevel="1" x14ac:dyDescent="0.25">
      <c r="B34" s="115" t="s">
        <v>83</v>
      </c>
      <c r="C34" s="250">
        <f t="shared" si="13"/>
        <v>0</v>
      </c>
      <c r="D34" s="250">
        <f t="shared" si="11"/>
        <v>-24432.271800000002</v>
      </c>
      <c r="E34" s="250">
        <f t="shared" si="11"/>
        <v>610967.93520000007</v>
      </c>
      <c r="F34" s="250">
        <f>E34+F17</f>
        <v>1371331.9531999999</v>
      </c>
      <c r="G34" s="250">
        <f t="shared" si="11"/>
        <v>2500116.9611999998</v>
      </c>
      <c r="H34" s="250">
        <f t="shared" si="11"/>
        <v>2520930.4512</v>
      </c>
      <c r="I34" s="250">
        <f t="shared" si="12"/>
        <v>2524926.1466000001</v>
      </c>
      <c r="J34" s="250">
        <f t="shared" si="12"/>
        <v>2544044.0915999999</v>
      </c>
      <c r="K34" s="250">
        <f t="shared" si="12"/>
        <v>2565249.6491999999</v>
      </c>
      <c r="L34" s="250">
        <f t="shared" si="12"/>
        <v>2651824.2804</v>
      </c>
      <c r="M34" s="226">
        <v>2012</v>
      </c>
      <c r="N34" s="226"/>
      <c r="O34" s="226"/>
      <c r="P34" s="226">
        <v>2013</v>
      </c>
    </row>
    <row r="35" spans="1:16" outlineLevel="1" x14ac:dyDescent="0.25">
      <c r="B35" s="115" t="s">
        <v>84</v>
      </c>
      <c r="C35" s="250">
        <f t="shared" si="13"/>
        <v>0</v>
      </c>
      <c r="D35" s="250">
        <f t="shared" si="11"/>
        <v>-6381.3738000000003</v>
      </c>
      <c r="E35" s="250">
        <f t="shared" si="11"/>
        <v>-364740.69150000002</v>
      </c>
      <c r="F35" s="250">
        <f t="shared" si="11"/>
        <v>747097.80089999991</v>
      </c>
      <c r="G35" s="250">
        <f t="shared" si="11"/>
        <v>324718.01689999987</v>
      </c>
      <c r="H35" s="250">
        <f t="shared" si="11"/>
        <v>328491.84289999987</v>
      </c>
      <c r="I35" s="250">
        <f t="shared" si="12"/>
        <v>339945.57709999988</v>
      </c>
      <c r="J35" s="250">
        <f t="shared" si="12"/>
        <v>359916.96209999989</v>
      </c>
      <c r="K35" s="250">
        <f t="shared" si="12"/>
        <v>374976.52913841972</v>
      </c>
      <c r="L35" s="250">
        <f t="shared" si="12"/>
        <v>359956.61633841973</v>
      </c>
      <c r="M35" s="227">
        <f>F5+G3-G59</f>
        <v>161822866.38976333</v>
      </c>
      <c r="N35" s="227"/>
      <c r="O35" s="227"/>
      <c r="P35" s="227">
        <f>G5+H3-H59</f>
        <v>161602974.54903123</v>
      </c>
    </row>
    <row r="36" spans="1:16" s="276" customFormat="1" outlineLevel="1" x14ac:dyDescent="0.25">
      <c r="A36" s="319"/>
      <c r="B36" s="278" t="e">
        <f>IF(LIMBA="ROMANA","Materiale - fibra optica ","Materials for the year - fiber optics")</f>
        <v>#REF!</v>
      </c>
      <c r="C36" s="279">
        <f t="shared" si="13"/>
        <v>0</v>
      </c>
      <c r="D36" s="279">
        <f t="shared" si="11"/>
        <v>0</v>
      </c>
      <c r="E36" s="279">
        <f t="shared" si="11"/>
        <v>0</v>
      </c>
      <c r="F36" s="279">
        <f t="shared" si="11"/>
        <v>0</v>
      </c>
      <c r="G36" s="279">
        <f t="shared" si="11"/>
        <v>86932</v>
      </c>
      <c r="H36" s="279">
        <f t="shared" si="11"/>
        <v>142895</v>
      </c>
      <c r="I36" s="279">
        <f t="shared" si="12"/>
        <v>148977</v>
      </c>
      <c r="J36" s="279">
        <f t="shared" si="12"/>
        <v>155129.35</v>
      </c>
      <c r="K36" s="279">
        <f t="shared" si="12"/>
        <v>155897.35</v>
      </c>
      <c r="L36" s="279">
        <f t="shared" si="12"/>
        <v>156805.35</v>
      </c>
    </row>
    <row r="37" spans="1:16" outlineLevel="1" x14ac:dyDescent="0.25">
      <c r="B37" s="34" t="e">
        <f>IF(LIMBA="ROMANA","Alte materiale specifice FiberCity","Other materials for the year specific for FiberCity")</f>
        <v>#REF!</v>
      </c>
      <c r="C37" s="249">
        <f t="shared" si="13"/>
        <v>0</v>
      </c>
      <c r="D37" s="249">
        <f t="shared" si="11"/>
        <v>0</v>
      </c>
      <c r="E37" s="249">
        <f t="shared" si="11"/>
        <v>0</v>
      </c>
      <c r="F37" s="249">
        <f t="shared" si="11"/>
        <v>0</v>
      </c>
      <c r="G37" s="249">
        <f t="shared" si="11"/>
        <v>65321</v>
      </c>
      <c r="H37" s="249">
        <f t="shared" si="11"/>
        <v>65321</v>
      </c>
      <c r="I37" s="249">
        <f t="shared" si="12"/>
        <v>65321</v>
      </c>
      <c r="J37" s="249">
        <f t="shared" si="12"/>
        <v>65321</v>
      </c>
      <c r="K37" s="249">
        <f t="shared" si="12"/>
        <v>65321</v>
      </c>
      <c r="L37" s="249">
        <f t="shared" si="12"/>
        <v>65321</v>
      </c>
    </row>
    <row r="38" spans="1:16" outlineLevel="1" x14ac:dyDescent="0.25">
      <c r="B38" s="95" t="s">
        <v>87</v>
      </c>
      <c r="C38" s="249">
        <f t="shared" si="13"/>
        <v>0</v>
      </c>
      <c r="D38" s="249">
        <f t="shared" si="11"/>
        <v>0</v>
      </c>
      <c r="E38" s="249">
        <f t="shared" si="11"/>
        <v>0</v>
      </c>
      <c r="F38" s="249">
        <f t="shared" si="11"/>
        <v>0</v>
      </c>
      <c r="G38" s="249">
        <f t="shared" si="11"/>
        <v>0</v>
      </c>
      <c r="H38" s="249">
        <f t="shared" si="11"/>
        <v>323569</v>
      </c>
      <c r="I38" s="249">
        <f t="shared" si="12"/>
        <v>323569</v>
      </c>
      <c r="J38" s="249">
        <f t="shared" si="12"/>
        <v>323569</v>
      </c>
      <c r="K38" s="249">
        <f t="shared" si="12"/>
        <v>323569</v>
      </c>
      <c r="L38" s="249">
        <f t="shared" si="12"/>
        <v>661248</v>
      </c>
    </row>
    <row r="39" spans="1:16" x14ac:dyDescent="0.25">
      <c r="B39" s="35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35"/>
      <c r="N39" s="35"/>
      <c r="O39" s="35"/>
    </row>
    <row r="40" spans="1:16" s="276" customFormat="1" x14ac:dyDescent="0.25">
      <c r="A40" s="319"/>
      <c r="B40" s="246" t="e">
        <f>IF(LIMBA="ROMANA","Valoare neta a retelei","Net Book Value")</f>
        <v>#REF!</v>
      </c>
      <c r="C40" s="285">
        <f>C41+C44+C47+C49+C50+C53+C54</f>
        <v>5572769.4750000006</v>
      </c>
      <c r="D40" s="285">
        <f t="shared" ref="D40:G40" si="14">D41+D44+D47+D49+D50+D53+D54</f>
        <v>8866144.2046164982</v>
      </c>
      <c r="E40" s="285">
        <f t="shared" si="14"/>
        <v>48833950.306972474</v>
      </c>
      <c r="F40" s="285">
        <f t="shared" si="14"/>
        <v>114042745.38976331</v>
      </c>
      <c r="G40" s="285">
        <f t="shared" si="14"/>
        <v>164188263.5490312</v>
      </c>
      <c r="H40" s="285">
        <f>H41+H44+H47+H49+H50+H53+H54+H55</f>
        <v>165904983.25829914</v>
      </c>
      <c r="I40" s="285">
        <f t="shared" ref="I40:L40" si="15">I41+I44+I47+I49+I50+I53+I54+I55</f>
        <v>162670852.31119704</v>
      </c>
      <c r="J40" s="285">
        <f t="shared" si="15"/>
        <v>159143755.73903006</v>
      </c>
      <c r="K40" s="285">
        <f t="shared" si="15"/>
        <v>155490819.32930261</v>
      </c>
      <c r="L40" s="285">
        <f t="shared" si="15"/>
        <v>176608754.7020793</v>
      </c>
      <c r="M40" s="286"/>
      <c r="N40" s="286"/>
      <c r="O40" s="286"/>
    </row>
    <row r="41" spans="1:16" s="276" customFormat="1" outlineLevel="1" x14ac:dyDescent="0.25">
      <c r="A41" s="319"/>
      <c r="B41" s="278" t="e">
        <f>IF(LIMBA="ROMANA","Lucrari civile cu santurile (TubeCity), inclusiv:","Civil works (Fibercity), including:")</f>
        <v>#REF!</v>
      </c>
      <c r="C41" s="285">
        <f t="shared" ref="C41:C54" si="16">C24-C62</f>
        <v>4545194.1689368505</v>
      </c>
      <c r="D41" s="285">
        <f t="shared" ref="D41:L54" si="17">C41+D7-D62</f>
        <v>7256086.446470201</v>
      </c>
      <c r="E41" s="285">
        <f t="shared" si="17"/>
        <v>39084275.647751041</v>
      </c>
      <c r="F41" s="285">
        <f t="shared" si="17"/>
        <v>91615403.409996882</v>
      </c>
      <c r="G41" s="285">
        <f t="shared" si="17"/>
        <v>134942215.66144273</v>
      </c>
      <c r="H41" s="285">
        <f t="shared" si="17"/>
        <v>136620535.93311357</v>
      </c>
      <c r="I41" s="285">
        <f t="shared" si="17"/>
        <v>133792354.66378443</v>
      </c>
      <c r="J41" s="285">
        <f t="shared" si="17"/>
        <v>130826541.94212039</v>
      </c>
      <c r="K41" s="285">
        <f t="shared" si="17"/>
        <v>127825302.73054342</v>
      </c>
      <c r="L41" s="285">
        <f t="shared" si="17"/>
        <v>144773023.61896646</v>
      </c>
    </row>
    <row r="42" spans="1:16" outlineLevel="1" x14ac:dyDescent="0.25">
      <c r="B42" s="39" t="e">
        <f>IF(LIMBA="ROMANA","Salarii capitalizate pe TubeCity","Salaries capitalized to TubeCity for the year")</f>
        <v>#REF!</v>
      </c>
      <c r="C42" s="250">
        <f t="shared" si="16"/>
        <v>175405.12275000001</v>
      </c>
      <c r="D42" s="250">
        <f t="shared" si="17"/>
        <v>706628.73499999999</v>
      </c>
      <c r="E42" s="250">
        <f t="shared" si="17"/>
        <v>1371032.0072500003</v>
      </c>
      <c r="F42" s="250">
        <f t="shared" si="17"/>
        <v>3925282.5295000002</v>
      </c>
      <c r="G42" s="250">
        <f t="shared" si="17"/>
        <v>4957238.4767500004</v>
      </c>
      <c r="H42" s="250">
        <f t="shared" si="17"/>
        <v>5669699.3990000002</v>
      </c>
      <c r="I42" s="250">
        <f t="shared" si="17"/>
        <v>5909333.3712499999</v>
      </c>
      <c r="J42" s="250">
        <f t="shared" si="17"/>
        <v>6028901.9435000001</v>
      </c>
      <c r="K42" s="250">
        <f t="shared" si="17"/>
        <v>6250902.9157499997</v>
      </c>
      <c r="L42" s="250">
        <f t="shared" si="17"/>
        <v>7023948.1129999999</v>
      </c>
    </row>
    <row r="43" spans="1:16" outlineLevel="1" x14ac:dyDescent="0.25">
      <c r="B43" s="39" t="e">
        <f>IF(LIMBA="ROMANA","Taxe ISC de constructie","Construction Taxes (ISC) for the year")</f>
        <v>#REF!</v>
      </c>
      <c r="C43" s="252">
        <f t="shared" si="16"/>
        <v>0</v>
      </c>
      <c r="D43" s="250">
        <f t="shared" si="17"/>
        <v>0</v>
      </c>
      <c r="E43" s="250">
        <f t="shared" si="17"/>
        <v>477012.37349999999</v>
      </c>
      <c r="F43" s="250">
        <f t="shared" si="17"/>
        <v>1001684.537</v>
      </c>
      <c r="G43" s="250">
        <f t="shared" si="17"/>
        <v>1019786.9255</v>
      </c>
      <c r="H43" s="250">
        <f t="shared" si="17"/>
        <v>992658.31400000001</v>
      </c>
      <c r="I43" s="250">
        <f t="shared" si="17"/>
        <v>965529.70250000001</v>
      </c>
      <c r="J43" s="250">
        <f t="shared" si="17"/>
        <v>965529.70250000001</v>
      </c>
      <c r="K43" s="250">
        <f t="shared" si="17"/>
        <v>965529.70250000001</v>
      </c>
      <c r="L43" s="250">
        <f t="shared" si="17"/>
        <v>965529.70250000001</v>
      </c>
    </row>
    <row r="44" spans="1:16" s="276" customFormat="1" outlineLevel="1" x14ac:dyDescent="0.25">
      <c r="A44" s="319"/>
      <c r="B44" s="283" t="s">
        <v>82</v>
      </c>
      <c r="C44" s="285">
        <f t="shared" si="16"/>
        <v>0</v>
      </c>
      <c r="D44" s="285">
        <f t="shared" si="17"/>
        <v>206093.26773750002</v>
      </c>
      <c r="E44" s="285">
        <f t="shared" si="17"/>
        <v>2124006.8119775001</v>
      </c>
      <c r="F44" s="285">
        <f t="shared" si="17"/>
        <v>6936246.3802525001</v>
      </c>
      <c r="G44" s="285">
        <f t="shared" si="17"/>
        <v>10549450.984327501</v>
      </c>
      <c r="H44" s="285">
        <f t="shared" si="17"/>
        <v>10333183.8681775</v>
      </c>
      <c r="I44" s="285">
        <f t="shared" si="17"/>
        <v>10083091.792797498</v>
      </c>
      <c r="J44" s="285">
        <f t="shared" si="17"/>
        <v>9890715.6345924996</v>
      </c>
      <c r="K44" s="285">
        <f t="shared" si="17"/>
        <v>9656668.6274174992</v>
      </c>
      <c r="L44" s="285">
        <f t="shared" si="17"/>
        <v>9997169.6019449998</v>
      </c>
    </row>
    <row r="45" spans="1:16" outlineLevel="1" x14ac:dyDescent="0.25">
      <c r="B45" s="115" t="s">
        <v>83</v>
      </c>
      <c r="C45" s="250">
        <f t="shared" si="16"/>
        <v>0</v>
      </c>
      <c r="D45" s="250">
        <f t="shared" si="17"/>
        <v>174682.48063500001</v>
      </c>
      <c r="E45" s="250">
        <f t="shared" si="17"/>
        <v>1326566.14497</v>
      </c>
      <c r="F45" s="250">
        <f t="shared" si="17"/>
        <v>4824111.6179625001</v>
      </c>
      <c r="G45" s="250">
        <f t="shared" si="17"/>
        <v>6489180.1146550002</v>
      </c>
      <c r="H45" s="250">
        <f t="shared" si="17"/>
        <v>6353688.1864225008</v>
      </c>
      <c r="I45" s="250">
        <f t="shared" si="17"/>
        <v>6199338.2739100009</v>
      </c>
      <c r="J45" s="250">
        <f t="shared" si="17"/>
        <v>6081700.7526975004</v>
      </c>
      <c r="K45" s="250">
        <f t="shared" si="17"/>
        <v>5940418.6199050006</v>
      </c>
      <c r="L45" s="250">
        <f t="shared" si="17"/>
        <v>6180512.1512075011</v>
      </c>
    </row>
    <row r="46" spans="1:16" outlineLevel="1" x14ac:dyDescent="0.25">
      <c r="B46" s="115" t="s">
        <v>84</v>
      </c>
      <c r="C46" s="250">
        <f t="shared" si="16"/>
        <v>0</v>
      </c>
      <c r="D46" s="250">
        <f t="shared" si="17"/>
        <v>31410.787102500002</v>
      </c>
      <c r="E46" s="250">
        <f t="shared" si="17"/>
        <v>797440.66700750007</v>
      </c>
      <c r="F46" s="250">
        <f t="shared" si="17"/>
        <v>2112134.76229</v>
      </c>
      <c r="G46" s="250">
        <f t="shared" si="17"/>
        <v>4060270.8696725001</v>
      </c>
      <c r="H46" s="250">
        <f t="shared" si="17"/>
        <v>3979495.6817549998</v>
      </c>
      <c r="I46" s="250">
        <f t="shared" si="17"/>
        <v>3883753.5188874998</v>
      </c>
      <c r="J46" s="250">
        <f t="shared" si="17"/>
        <v>3809014.8818950001</v>
      </c>
      <c r="K46" s="250">
        <f t="shared" si="17"/>
        <v>3716250.0075125</v>
      </c>
      <c r="L46" s="250">
        <f t="shared" si="17"/>
        <v>3816657.4507375001</v>
      </c>
    </row>
    <row r="47" spans="1:16" s="276" customFormat="1" outlineLevel="1" x14ac:dyDescent="0.25">
      <c r="A47" s="319"/>
      <c r="B47" s="278" t="e">
        <f>IF(LIMBA="ROMANA","Lucrari civile (FiberCity), din care: ","Civil works  (Fibercity), out of which:")</f>
        <v>#REF!</v>
      </c>
      <c r="C47" s="285">
        <f t="shared" si="16"/>
        <v>0</v>
      </c>
      <c r="D47" s="285">
        <f t="shared" si="17"/>
        <v>0</v>
      </c>
      <c r="E47" s="285">
        <f t="shared" si="17"/>
        <v>0</v>
      </c>
      <c r="F47" s="285">
        <f t="shared" si="17"/>
        <v>0</v>
      </c>
      <c r="G47" s="285">
        <f t="shared" si="17"/>
        <v>582326.55000000005</v>
      </c>
      <c r="H47" s="285">
        <f t="shared" si="17"/>
        <v>572886.30000000005</v>
      </c>
      <c r="I47" s="285">
        <f t="shared" si="17"/>
        <v>582197.82500000007</v>
      </c>
      <c r="J47" s="285">
        <f t="shared" si="17"/>
        <v>572238.13725000015</v>
      </c>
      <c r="K47" s="285">
        <f t="shared" si="17"/>
        <v>556393.53950000019</v>
      </c>
      <c r="L47" s="285">
        <f t="shared" si="17"/>
        <v>547317.39175000018</v>
      </c>
    </row>
    <row r="48" spans="1:16" outlineLevel="1" x14ac:dyDescent="0.25">
      <c r="B48" s="39" t="e">
        <f>IF(LIMBA="ROMANA","Salarii capitalizate pe FiberCity","Salaries capitalized to FiberCity")</f>
        <v>#REF!</v>
      </c>
      <c r="C48" s="250">
        <f t="shared" si="16"/>
        <v>0</v>
      </c>
      <c r="D48" s="250">
        <f t="shared" si="17"/>
        <v>0</v>
      </c>
      <c r="E48" s="250">
        <f t="shared" si="17"/>
        <v>0</v>
      </c>
      <c r="F48" s="250">
        <f t="shared" si="17"/>
        <v>0</v>
      </c>
      <c r="G48" s="250">
        <f t="shared" si="17"/>
        <v>517018.125</v>
      </c>
      <c r="H48" s="250">
        <f t="shared" si="17"/>
        <v>503761.25</v>
      </c>
      <c r="I48" s="250">
        <f t="shared" si="17"/>
        <v>514383.1</v>
      </c>
      <c r="J48" s="250">
        <f t="shared" si="17"/>
        <v>506251.73724999995</v>
      </c>
      <c r="K48" s="250">
        <f t="shared" si="17"/>
        <v>492235.46449999994</v>
      </c>
      <c r="L48" s="250">
        <f t="shared" si="17"/>
        <v>483904.41674999992</v>
      </c>
    </row>
    <row r="49" spans="1:15" s="276" customFormat="1" outlineLevel="1" x14ac:dyDescent="0.25">
      <c r="A49" s="319"/>
      <c r="B49" s="278" t="e">
        <f>IF(LIMBA="ROMANA","Materiale (fara materiale specifice FiberCity, camere de tragere)","Materials for the year (without materials specific for Fibercity, manholes)")</f>
        <v>#REF!</v>
      </c>
      <c r="C49" s="285">
        <f t="shared" si="16"/>
        <v>1027575.3060631499</v>
      </c>
      <c r="D49" s="285">
        <f t="shared" si="17"/>
        <v>1434007.7948687961</v>
      </c>
      <c r="E49" s="285">
        <f t="shared" si="17"/>
        <v>7384825.9434964396</v>
      </c>
      <c r="F49" s="285">
        <f t="shared" si="17"/>
        <v>12637470.941702606</v>
      </c>
      <c r="G49" s="285">
        <f t="shared" si="17"/>
        <v>14500568.200710282</v>
      </c>
      <c r="H49" s="285">
        <f t="shared" si="17"/>
        <v>14537918.250617957</v>
      </c>
      <c r="I49" s="285">
        <f t="shared" si="17"/>
        <v>14453901.591525631</v>
      </c>
      <c r="J49" s="285">
        <f t="shared" si="17"/>
        <v>14153680.655628307</v>
      </c>
      <c r="K49" s="285">
        <f t="shared" si="17"/>
        <v>13819755.714530982</v>
      </c>
      <c r="L49" s="285">
        <f t="shared" si="17"/>
        <v>17355151.698433656</v>
      </c>
    </row>
    <row r="50" spans="1:15" s="276" customFormat="1" outlineLevel="1" x14ac:dyDescent="0.25">
      <c r="A50" s="319"/>
      <c r="B50" s="278" t="s">
        <v>86</v>
      </c>
      <c r="C50" s="285">
        <f t="shared" si="16"/>
        <v>0</v>
      </c>
      <c r="D50" s="285">
        <f t="shared" si="17"/>
        <v>-30043.304460000003</v>
      </c>
      <c r="E50" s="285">
        <f t="shared" si="17"/>
        <v>240841.90374750004</v>
      </c>
      <c r="F50" s="285">
        <f t="shared" si="17"/>
        <v>2853624.6578113236</v>
      </c>
      <c r="G50" s="285">
        <f t="shared" si="17"/>
        <v>3469061.8025507126</v>
      </c>
      <c r="H50" s="285">
        <f t="shared" si="17"/>
        <v>3402066.3563901018</v>
      </c>
      <c r="I50" s="285">
        <f t="shared" si="17"/>
        <v>3325546.788089491</v>
      </c>
      <c r="J50" s="285">
        <f t="shared" si="17"/>
        <v>3271689.8869388802</v>
      </c>
      <c r="K50" s="285">
        <f t="shared" si="17"/>
        <v>3214102.1523107286</v>
      </c>
      <c r="L50" s="285">
        <f t="shared" si="17"/>
        <v>3190015.1434841575</v>
      </c>
    </row>
    <row r="51" spans="1:15" outlineLevel="1" x14ac:dyDescent="0.25">
      <c r="B51" s="115" t="s">
        <v>83</v>
      </c>
      <c r="C51" s="250">
        <f t="shared" si="16"/>
        <v>0</v>
      </c>
      <c r="D51" s="250">
        <f t="shared" si="17"/>
        <v>-23821.465005000002</v>
      </c>
      <c r="E51" s="250">
        <f t="shared" si="17"/>
        <v>596304.54361500009</v>
      </c>
      <c r="F51" s="250">
        <f t="shared" si="17"/>
        <v>1322385.262785</v>
      </c>
      <c r="G51" s="250">
        <f t="shared" si="17"/>
        <v>2388667.3467550003</v>
      </c>
      <c r="H51" s="250">
        <f t="shared" si="17"/>
        <v>2346457.5754750003</v>
      </c>
      <c r="I51" s="250">
        <f t="shared" si="17"/>
        <v>2287330.1172100003</v>
      </c>
      <c r="J51" s="250">
        <f t="shared" si="17"/>
        <v>2242846.9599200003</v>
      </c>
      <c r="K51" s="250">
        <f t="shared" si="17"/>
        <v>2199921.2762900004</v>
      </c>
      <c r="L51" s="250">
        <f t="shared" si="17"/>
        <v>2220200.3004800007</v>
      </c>
    </row>
    <row r="52" spans="1:15" outlineLevel="1" x14ac:dyDescent="0.25">
      <c r="B52" s="115" t="s">
        <v>84</v>
      </c>
      <c r="C52" s="250">
        <f t="shared" si="16"/>
        <v>0</v>
      </c>
      <c r="D52" s="250">
        <f t="shared" si="17"/>
        <v>-6221.8394550000003</v>
      </c>
      <c r="E52" s="250">
        <f t="shared" si="17"/>
        <v>-355462.63986749999</v>
      </c>
      <c r="F52" s="250">
        <f t="shared" si="17"/>
        <v>737698.40750999993</v>
      </c>
      <c r="G52" s="250">
        <f t="shared" si="17"/>
        <v>307200.67308749992</v>
      </c>
      <c r="H52" s="250">
        <f t="shared" si="17"/>
        <v>302762.20301499992</v>
      </c>
      <c r="I52" s="250">
        <f t="shared" si="17"/>
        <v>305717.29778749991</v>
      </c>
      <c r="J52" s="250">
        <f t="shared" si="17"/>
        <v>316690.75873499992</v>
      </c>
      <c r="K52" s="250">
        <f t="shared" si="17"/>
        <v>322375.91254495928</v>
      </c>
      <c r="L52" s="250">
        <f t="shared" si="17"/>
        <v>298357.08433649881</v>
      </c>
    </row>
    <row r="53" spans="1:15" s="276" customFormat="1" outlineLevel="1" x14ac:dyDescent="0.25">
      <c r="A53" s="319"/>
      <c r="B53" s="278" t="e">
        <f>IF(LIMBA="ROMANA","Materiale - fibra optica ","Materials for the year - fiber optics")</f>
        <v>#REF!</v>
      </c>
      <c r="C53" s="285">
        <f t="shared" si="16"/>
        <v>0</v>
      </c>
      <c r="D53" s="285">
        <f t="shared" si="17"/>
        <v>0</v>
      </c>
      <c r="E53" s="285">
        <f t="shared" si="17"/>
        <v>0</v>
      </c>
      <c r="F53" s="285">
        <f t="shared" si="17"/>
        <v>0</v>
      </c>
      <c r="G53" s="285">
        <f t="shared" si="17"/>
        <v>82585.399999999994</v>
      </c>
      <c r="H53" s="285">
        <f t="shared" si="17"/>
        <v>131403.65</v>
      </c>
      <c r="I53" s="285">
        <f t="shared" si="17"/>
        <v>130036.79999999999</v>
      </c>
      <c r="J53" s="285">
        <f t="shared" si="17"/>
        <v>128432.6825</v>
      </c>
      <c r="K53" s="285">
        <f t="shared" si="17"/>
        <v>121405.815</v>
      </c>
      <c r="L53" s="285">
        <f t="shared" si="17"/>
        <v>114473.5475</v>
      </c>
    </row>
    <row r="54" spans="1:15" outlineLevel="1" x14ac:dyDescent="0.25">
      <c r="B54" s="34" t="e">
        <f>IF(LIMBA="ROMANA","Alte materiale specifice FiberCity","Other materials for the year specific for FiberCity")</f>
        <v>#REF!</v>
      </c>
      <c r="C54" s="252">
        <f t="shared" si="16"/>
        <v>0</v>
      </c>
      <c r="D54" s="252">
        <f t="shared" si="17"/>
        <v>0</v>
      </c>
      <c r="E54" s="252">
        <f t="shared" si="17"/>
        <v>0</v>
      </c>
      <c r="F54" s="252">
        <f t="shared" si="17"/>
        <v>0</v>
      </c>
      <c r="G54" s="252">
        <f t="shared" si="17"/>
        <v>62054.95</v>
      </c>
      <c r="H54" s="252">
        <f t="shared" si="17"/>
        <v>58788.899999999994</v>
      </c>
      <c r="I54" s="252">
        <f t="shared" si="17"/>
        <v>55522.849999999991</v>
      </c>
      <c r="J54" s="252">
        <f t="shared" si="17"/>
        <v>52256.799999999988</v>
      </c>
      <c r="K54" s="252">
        <f t="shared" si="17"/>
        <v>48990.749999999985</v>
      </c>
      <c r="L54" s="252">
        <f t="shared" si="17"/>
        <v>45724.699999999983</v>
      </c>
    </row>
    <row r="55" spans="1:15" outlineLevel="1" x14ac:dyDescent="0.25">
      <c r="B55" s="95" t="s">
        <v>87</v>
      </c>
      <c r="C55" s="252">
        <f>C38-C77</f>
        <v>0</v>
      </c>
      <c r="D55" s="252">
        <f t="shared" ref="D55:L55" si="18">D38-D77</f>
        <v>0</v>
      </c>
      <c r="E55" s="252">
        <f t="shared" si="18"/>
        <v>0</v>
      </c>
      <c r="F55" s="252">
        <f t="shared" si="18"/>
        <v>0</v>
      </c>
      <c r="G55" s="252">
        <f t="shared" si="18"/>
        <v>-75369</v>
      </c>
      <c r="H55" s="252">
        <f t="shared" si="18"/>
        <v>248200</v>
      </c>
      <c r="I55" s="252">
        <f t="shared" si="18"/>
        <v>248200</v>
      </c>
      <c r="J55" s="252">
        <f t="shared" si="18"/>
        <v>248200</v>
      </c>
      <c r="K55" s="252">
        <f t="shared" si="18"/>
        <v>248200</v>
      </c>
      <c r="L55" s="252">
        <f t="shared" si="18"/>
        <v>585879</v>
      </c>
      <c r="M55" s="35"/>
      <c r="N55" s="35"/>
      <c r="O55" s="35"/>
    </row>
    <row r="56" spans="1:15" x14ac:dyDescent="0.25">
      <c r="C56" s="581"/>
      <c r="D56" s="581"/>
      <c r="E56" s="581"/>
      <c r="F56" s="581"/>
      <c r="G56" s="581"/>
      <c r="H56" s="581"/>
      <c r="I56" s="581"/>
      <c r="J56" s="581"/>
      <c r="K56" s="581"/>
      <c r="L56" s="581"/>
      <c r="N56" s="216"/>
      <c r="O56" s="35"/>
    </row>
    <row r="57" spans="1:15" ht="15.75" thickBot="1" x14ac:dyDescent="0.3"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N57" s="277" t="s">
        <v>78</v>
      </c>
      <c r="O57" s="35"/>
    </row>
    <row r="58" spans="1:15" ht="15.75" thickBot="1" x14ac:dyDescent="0.3">
      <c r="B58" s="33" t="e">
        <f>IF(LIMBA="ROMANA","Amortizare (ajustata) a retelei ","Depreciation (adjusted)")</f>
        <v>#REF!</v>
      </c>
      <c r="C58" s="255">
        <f>C62+C65+C68+C70+C71+C74+C75</f>
        <v>142891.52499999999</v>
      </c>
      <c r="D58" s="256">
        <f t="shared" ref="D58:F58" si="19">D62+D65+D68+D70+D71+D74+D75</f>
        <v>231000.91614401271</v>
      </c>
      <c r="E58" s="256">
        <f t="shared" si="19"/>
        <v>1261739.5576440126</v>
      </c>
      <c r="F58" s="256">
        <f t="shared" si="19"/>
        <v>2966112.2407320854</v>
      </c>
      <c r="G58" s="256">
        <f>G62+G65+G68+G70+G71+G74+G75</f>
        <v>4331852.8407320846</v>
      </c>
      <c r="H58" s="256">
        <f>H62+H65+H68+H70+H71+H74+H75+H76</f>
        <v>4490104.5157320844</v>
      </c>
      <c r="I58" s="256">
        <f t="shared" ref="I58:L58" si="20">I62+I65+I68+I70+I71+I74+I75+I76</f>
        <v>4522257.4989020843</v>
      </c>
      <c r="J58" s="256">
        <f t="shared" si="20"/>
        <v>4547724.7822799087</v>
      </c>
      <c r="K58" s="256">
        <f t="shared" si="20"/>
        <v>4570480.3501658682</v>
      </c>
      <c r="L58" s="256">
        <f t="shared" si="20"/>
        <v>5228757.0815233681</v>
      </c>
      <c r="N58" s="413">
        <f>-PMT('Ipoteze de lucru'!C3,'Ipoteze de lucru'!C22,M3)</f>
        <v>5268244.1403094614</v>
      </c>
      <c r="O58" s="35"/>
    </row>
    <row r="59" spans="1:15" s="216" customFormat="1" x14ac:dyDescent="0.25">
      <c r="A59" s="323"/>
      <c r="B59" s="281" t="e">
        <f>IF(LIMBA="ROMANA","Amortizare contabila pentru anul curent","Actual depreciation for the year")</f>
        <v>#REF!</v>
      </c>
      <c r="C59" s="257">
        <v>0</v>
      </c>
      <c r="D59" s="470">
        <v>211216</v>
      </c>
      <c r="E59" s="470">
        <v>539740.97</v>
      </c>
      <c r="F59" s="470">
        <v>3730313</v>
      </c>
      <c r="G59" s="470">
        <v>6697250</v>
      </c>
      <c r="H59" s="470">
        <v>8859393</v>
      </c>
      <c r="I59" s="470">
        <v>8980</v>
      </c>
      <c r="J59" s="470">
        <v>9115</v>
      </c>
      <c r="K59" s="470">
        <v>9195</v>
      </c>
      <c r="L59" s="470">
        <v>9124</v>
      </c>
      <c r="M59" s="32"/>
      <c r="N59" s="387"/>
      <c r="O59" s="35"/>
    </row>
    <row r="60" spans="1:15" x14ac:dyDescent="0.25">
      <c r="B60" s="33" t="s">
        <v>91</v>
      </c>
      <c r="C60" s="258">
        <f t="shared" ref="C60:F60" si="21">C58-C59</f>
        <v>142891.52499999999</v>
      </c>
      <c r="D60" s="258">
        <f t="shared" si="21"/>
        <v>19784.916144012706</v>
      </c>
      <c r="E60" s="258">
        <f t="shared" si="21"/>
        <v>721998.58764401264</v>
      </c>
      <c r="F60" s="258">
        <f t="shared" si="21"/>
        <v>-764200.75926791457</v>
      </c>
      <c r="G60" s="258">
        <f>G58-G59</f>
        <v>-2365397.1592679154</v>
      </c>
      <c r="H60" s="258">
        <f>H58-H59</f>
        <v>-4369288.4842679156</v>
      </c>
      <c r="I60" s="258">
        <f t="shared" ref="I60:L60" si="22">I58-I59</f>
        <v>4513277.4989020843</v>
      </c>
      <c r="J60" s="258">
        <f t="shared" si="22"/>
        <v>4538609.7822799087</v>
      </c>
      <c r="K60" s="258">
        <f t="shared" si="22"/>
        <v>4561285.3501658682</v>
      </c>
      <c r="L60" s="258">
        <f t="shared" si="22"/>
        <v>5219633.0815233681</v>
      </c>
      <c r="N60" s="414"/>
      <c r="O60" s="35"/>
    </row>
    <row r="61" spans="1:15" outlineLevel="1" x14ac:dyDescent="0.25">
      <c r="B61" s="143" t="e">
        <f>IF(LIMBA="ROMANA","Amortizare cumulata","Cumulative depreciation")</f>
        <v>#REF!</v>
      </c>
      <c r="C61" s="259">
        <f>C58</f>
        <v>142891.52499999999</v>
      </c>
      <c r="D61" s="259">
        <f t="shared" ref="D61:L61" si="23">C61+D58</f>
        <v>373892.44114401273</v>
      </c>
      <c r="E61" s="259">
        <f t="shared" si="23"/>
        <v>1635631.9987880252</v>
      </c>
      <c r="F61" s="259">
        <f t="shared" si="23"/>
        <v>4601744.2395201102</v>
      </c>
      <c r="G61" s="259">
        <f t="shared" si="23"/>
        <v>8933597.0802521948</v>
      </c>
      <c r="H61" s="259">
        <f t="shared" si="23"/>
        <v>13423701.59598428</v>
      </c>
      <c r="I61" s="259">
        <f t="shared" si="23"/>
        <v>17945959.094886363</v>
      </c>
      <c r="J61" s="259">
        <f t="shared" si="23"/>
        <v>22493683.877166271</v>
      </c>
      <c r="K61" s="259">
        <f t="shared" si="23"/>
        <v>27064164.227332138</v>
      </c>
      <c r="L61" s="259">
        <f t="shared" si="23"/>
        <v>32292921.308855504</v>
      </c>
      <c r="N61" s="414"/>
      <c r="O61" s="35"/>
    </row>
    <row r="62" spans="1:15" s="276" customFormat="1" ht="23.25" customHeight="1" outlineLevel="1" x14ac:dyDescent="0.25">
      <c r="A62" s="319"/>
      <c r="B62" s="278" t="e">
        <f>IF(LIMBA="ROMANA","Lucrari civile cu santurile (TubeCity), inclusiv:","Civil works (Fibercity), including:")</f>
        <v>#REF!</v>
      </c>
      <c r="C62" s="263">
        <f>C7/'Ipoteze de lucru'!C22</f>
        <v>116543.44022915</v>
      </c>
      <c r="D62" s="263">
        <f>(C24+D7)/'Ipoteze de lucru'!$C$22</f>
        <v>189041.79196664999</v>
      </c>
      <c r="E62" s="263">
        <f>(D24+E7)/'Ipoteze de lucru'!$C$22</f>
        <v>1009996.4328191498</v>
      </c>
      <c r="F62" s="263">
        <f>(E24+F7)/'Ipoteze de lucru'!$C$22</f>
        <v>2382845.7711541494</v>
      </c>
      <c r="G62" s="263">
        <f>(F24+G7)/'Ipoteze de lucru'!$C$22</f>
        <v>3554888.284554149</v>
      </c>
      <c r="H62" s="263">
        <f>((G24+H7))/'Ipoteze de lucru'!$C$22</f>
        <v>3689073.1193291494</v>
      </c>
      <c r="I62" s="263">
        <f>((H24+I7))/'Ipoteze de lucru'!$C$22</f>
        <v>3711147.2693291493</v>
      </c>
      <c r="J62" s="263">
        <f>((I24+J7))/'Ipoteze de lucru'!$C$22</f>
        <v>3730258.4115769723</v>
      </c>
      <c r="K62" s="263">
        <f>((J24+K7))/'Ipoteze de lucru'!$C$22</f>
        <v>3748951.2115769722</v>
      </c>
      <c r="L62" s="263">
        <f>((K24+L7))/'Ipoteze de lucru'!$C$22</f>
        <v>4279635.1115769725</v>
      </c>
      <c r="M62" s="32"/>
      <c r="N62" s="440">
        <f>N7</f>
        <v>4314148.1080614813</v>
      </c>
      <c r="O62" s="35"/>
    </row>
    <row r="63" spans="1:15" ht="23.25" customHeight="1" outlineLevel="1" x14ac:dyDescent="0.25">
      <c r="B63" s="39" t="e">
        <f>IF(LIMBA="ROMANA","Salarii capitalizate pe TubeCity","Salaries capitalized to TubeCity for the year")</f>
        <v>#REF!</v>
      </c>
      <c r="C63" s="250">
        <f>C25/'Ipoteze de lucru'!$C$22</f>
        <v>4497.5672500000001</v>
      </c>
      <c r="D63" s="250">
        <f>(C25+D8)/'Ipoteze de lucru'!$C$22</f>
        <v>18234.007750000001</v>
      </c>
      <c r="E63" s="250">
        <f>(D25+E8)/'Ipoteze de lucru'!$C$22</f>
        <v>35737.527750000008</v>
      </c>
      <c r="F63" s="250">
        <f>(E25+F8)/'Ipoteze de lucru'!$C$22</f>
        <v>102147.47775000001</v>
      </c>
      <c r="G63" s="250">
        <f>(F25+G8)/'Ipoteze de lucru'!$C$22</f>
        <v>131227.05275</v>
      </c>
      <c r="H63" s="250">
        <f>(G25+H8)/'Ipoteze de lucru'!$C$22</f>
        <v>152860.07775</v>
      </c>
      <c r="I63" s="250">
        <f>(H25+I8)/'Ipoteze de lucru'!$C$22</f>
        <v>162924.02775000001</v>
      </c>
      <c r="J63" s="250">
        <f>(I25+J8)/'Ipoteze de lucru'!$C$22</f>
        <v>170167.42775</v>
      </c>
      <c r="K63" s="250">
        <f>(J25+K8)/'Ipoteze de lucru'!$C$22</f>
        <v>180223.02775000001</v>
      </c>
      <c r="L63" s="250">
        <f>(K25+L8)/'Ipoteze de lucru'!$C$22</f>
        <v>204665.80275</v>
      </c>
      <c r="N63" s="415">
        <f t="shared" ref="N63:N76" si="24">N8</f>
        <v>205524.05792445663</v>
      </c>
      <c r="O63" s="35"/>
    </row>
    <row r="64" spans="1:15" ht="23.25" customHeight="1" outlineLevel="1" x14ac:dyDescent="0.25">
      <c r="B64" s="39" t="e">
        <f>IF(LIMBA="ROMANA","Taxe ISC de constructie","Construction Taxes (ISC) for the year")</f>
        <v>#REF!</v>
      </c>
      <c r="C64" s="250">
        <f>C26/'Ipoteze de lucru'!$C$22</f>
        <v>0</v>
      </c>
      <c r="D64" s="250">
        <f>(C26+D9)/'Ipoteze de lucru'!$C$22</f>
        <v>0</v>
      </c>
      <c r="E64" s="250">
        <f>(D26+E9)/'Ipoteze de lucru'!$C$22</f>
        <v>12231.086499999999</v>
      </c>
      <c r="F64" s="250">
        <f>(E26+F9)/'Ipoteze de lucru'!$C$22</f>
        <v>25997.836499999998</v>
      </c>
      <c r="G64" s="250">
        <f>(F26+G9)/'Ipoteze de lucru'!$C$22</f>
        <v>27128.611499999999</v>
      </c>
      <c r="H64" s="250">
        <f>(G26+H9)/'Ipoteze de lucru'!$C$22</f>
        <v>27128.611499999999</v>
      </c>
      <c r="I64" s="250">
        <f>(H26+I9)/'Ipoteze de lucru'!$C$22</f>
        <v>27128.611499999999</v>
      </c>
      <c r="J64" s="250">
        <f>(I26+J9)/'Ipoteze de lucru'!$C$22</f>
        <v>0</v>
      </c>
      <c r="K64" s="250">
        <f>(J26+K9)/'Ipoteze de lucru'!$C$22</f>
        <v>0</v>
      </c>
      <c r="L64" s="250">
        <f>(K26+L9)/'Ipoteze de lucru'!$C$22</f>
        <v>0</v>
      </c>
      <c r="N64" s="415">
        <f t="shared" si="24"/>
        <v>27902.718185219703</v>
      </c>
      <c r="O64" s="396"/>
    </row>
    <row r="65" spans="1:15" s="276" customFormat="1" outlineLevel="1" x14ac:dyDescent="0.25">
      <c r="A65" s="319"/>
      <c r="B65" s="283" t="s">
        <v>82</v>
      </c>
      <c r="C65" s="284">
        <f>C27/'Ipoteze de lucru'!$C$22</f>
        <v>0</v>
      </c>
      <c r="D65" s="263">
        <f>(C27+D10)/'Ipoteze de lucru'!$C$22</f>
        <v>5284.4427625000008</v>
      </c>
      <c r="E65" s="263">
        <f>(D27+E10)/'Ipoteze de lucru'!$C$22</f>
        <v>54597.211659999994</v>
      </c>
      <c r="F65" s="263">
        <f>(E27+F10)/'Ipoteze de lucru'!$C$22</f>
        <v>179387.89832500002</v>
      </c>
      <c r="G65" s="263">
        <f>(F27+G10)/'Ipoteze de lucru'!$C$22</f>
        <v>276633.859925</v>
      </c>
      <c r="H65" s="263">
        <f>(G27+H10)/'Ipoteze de lucru'!$C$22</f>
        <v>278181.72514999995</v>
      </c>
      <c r="I65" s="263">
        <f>(H27+I10)/'Ipoteze de lucru'!$C$22</f>
        <v>278901.97257999994</v>
      </c>
      <c r="J65" s="263">
        <f>(I27+J10)/'Ipoteze de lucru'!$C$22</f>
        <v>281120.58320499997</v>
      </c>
      <c r="K65" s="263">
        <f>(J27+K10)/'Ipoteze de lucru'!$C$22</f>
        <v>282327.59797499998</v>
      </c>
      <c r="L65" s="263">
        <f>(K27+L10)/'Ipoteze de lucru'!$C$22</f>
        <v>298297.56137250003</v>
      </c>
      <c r="M65" s="32"/>
      <c r="N65" s="415">
        <f t="shared" si="24"/>
        <v>300500.68618766643</v>
      </c>
      <c r="O65" s="396"/>
    </row>
    <row r="66" spans="1:15" outlineLevel="1" x14ac:dyDescent="0.25">
      <c r="B66" s="115" t="s">
        <v>83</v>
      </c>
      <c r="C66" s="250">
        <f>C28/'Ipoteze de lucru'!$C$22</f>
        <v>0</v>
      </c>
      <c r="D66" s="250">
        <f>(C28+D11)/'Ipoteze de lucru'!$C$22</f>
        <v>4479.0379650000004</v>
      </c>
      <c r="E66" s="250">
        <f>(D28+E11)/'Ipoteze de lucru'!$C$22</f>
        <v>34129.363665000004</v>
      </c>
      <c r="F66" s="250">
        <f>(E28+F11)/'Ipoteze de lucru'!$C$22</f>
        <v>124685.12870750001</v>
      </c>
      <c r="G66" s="250">
        <f>(F28+G11)/'Ipoteze de lucru'!$C$22</f>
        <v>170576.24730750002</v>
      </c>
      <c r="H66" s="250">
        <f>(G28+H11)/'Ipoteze de lucru'!$C$22</f>
        <v>171475.84523250003</v>
      </c>
      <c r="I66" s="250">
        <f>(H28+I11)/'Ipoteze de lucru'!$C$22</f>
        <v>171914.97171250003</v>
      </c>
      <c r="J66" s="250">
        <f>(I28+J11)/'Ipoteze de lucru'!$C$22</f>
        <v>173306.70121250002</v>
      </c>
      <c r="K66" s="250">
        <f>(J28+K11)/'Ipoteze de lucru'!$C$22</f>
        <v>174127.84399250001</v>
      </c>
      <c r="L66" s="250">
        <f>(K28+L11)/'Ipoteze de lucru'!$C$22</f>
        <v>184748.9048975</v>
      </c>
      <c r="N66" s="440">
        <f t="shared" si="24"/>
        <v>186772.05787318654</v>
      </c>
      <c r="O66" s="396"/>
    </row>
    <row r="67" spans="1:15" outlineLevel="1" x14ac:dyDescent="0.25">
      <c r="B67" s="115" t="s">
        <v>84</v>
      </c>
      <c r="C67" s="250">
        <f>C29/'Ipoteze de lucru'!$C$22</f>
        <v>0</v>
      </c>
      <c r="D67" s="250">
        <f>(C29+D12)/'Ipoteze de lucru'!$C$22</f>
        <v>805.40479750000009</v>
      </c>
      <c r="E67" s="250">
        <f>(D29+E12)/'Ipoteze de lucru'!$C$22</f>
        <v>20467.847995</v>
      </c>
      <c r="F67" s="250">
        <f>(E29+F12)/'Ipoteze de lucru'!$C$22</f>
        <v>54702.769617499995</v>
      </c>
      <c r="G67" s="250">
        <f>(F29+G12)/'Ipoteze de lucru'!$C$22</f>
        <v>106057.61261749998</v>
      </c>
      <c r="H67" s="250">
        <f>((G29+H12))/'Ipoteze de lucru'!$C$22</f>
        <v>106705.87991749999</v>
      </c>
      <c r="I67" s="250">
        <f>((H29+I12))/'Ipoteze de lucru'!$C$22</f>
        <v>106987.0008675</v>
      </c>
      <c r="J67" s="250">
        <f>((I29+J12))/'Ipoteze de lucru'!$C$22</f>
        <v>107813.8819925</v>
      </c>
      <c r="K67" s="250">
        <f>((J29+K12))/'Ipoteze de lucru'!$C$22</f>
        <v>108199.75398249998</v>
      </c>
      <c r="L67" s="250">
        <f>((K29+L12))/'Ipoteze de lucru'!$C$22</f>
        <v>113548.656475</v>
      </c>
      <c r="N67" s="440">
        <f t="shared" si="24"/>
        <v>113728.62831447995</v>
      </c>
      <c r="O67" s="396"/>
    </row>
    <row r="68" spans="1:15" s="276" customFormat="1" outlineLevel="1" x14ac:dyDescent="0.25">
      <c r="A68" s="319"/>
      <c r="B68" s="278" t="e">
        <f>IF(LIMBA="ROMANA","Lucrari civile (FiberCity), din care: ","Civil works  (Fibercity), out of which:")</f>
        <v>#REF!</v>
      </c>
      <c r="C68" s="284">
        <f>C30/'Ipoteze de lucru'!$C$22</f>
        <v>0</v>
      </c>
      <c r="D68" s="263">
        <f>(C30+D13)/'Ipoteze de lucru'!$C$22</f>
        <v>0</v>
      </c>
      <c r="E68" s="263">
        <f>(D30+E13)/'Ipoteze de lucru'!$C$22</f>
        <v>0</v>
      </c>
      <c r="F68" s="263">
        <f>(E30+F13)/'Ipoteze de lucru'!$C$22</f>
        <v>0</v>
      </c>
      <c r="G68" s="263">
        <f>(F30+G13)/'Ipoteze de lucru'!$C$22</f>
        <v>14931.45</v>
      </c>
      <c r="H68" s="264">
        <f>((G30+H13))/'Ipoteze de lucru'!$C$22</f>
        <v>15072.25</v>
      </c>
      <c r="I68" s="264">
        <f>((H30+I13))/'Ipoteze de lucru'!$C$22</f>
        <v>15697.475</v>
      </c>
      <c r="J68" s="264">
        <f>((I30+J13))/'Ipoteze de lucru'!$C$22</f>
        <v>15844.597750000001</v>
      </c>
      <c r="K68" s="264">
        <f>((J30+K13))/'Ipoteze de lucru'!$C$22</f>
        <v>15844.597750000001</v>
      </c>
      <c r="L68" s="264">
        <f>((K30+L13))/'Ipoteze de lucru'!$C$22</f>
        <v>16018.14775</v>
      </c>
      <c r="M68" s="32"/>
      <c r="N68" s="440">
        <f t="shared" si="24"/>
        <v>15652.745923333874</v>
      </c>
      <c r="O68" s="396"/>
    </row>
    <row r="69" spans="1:15" outlineLevel="1" x14ac:dyDescent="0.25">
      <c r="B69" s="39" t="e">
        <f>IF(LIMBA="ROMANA","Salarii capitalizate pe FiberCity","Salaries capitalized to FiberCity")</f>
        <v>#REF!</v>
      </c>
      <c r="C69" s="250">
        <f>C31/'Ipoteze de lucru'!$C$22</f>
        <v>0</v>
      </c>
      <c r="D69" s="250">
        <f>(C31+D14)/'Ipoteze de lucru'!$C$22</f>
        <v>0</v>
      </c>
      <c r="E69" s="250">
        <f>(D31+E14)/'Ipoteze de lucru'!$C$22</f>
        <v>0</v>
      </c>
      <c r="F69" s="250">
        <f>(E31+F14)/'Ipoteze de lucru'!$C$22</f>
        <v>0</v>
      </c>
      <c r="G69" s="250">
        <f>(F31+G14)/'Ipoteze de lucru'!$C$22</f>
        <v>13256.875</v>
      </c>
      <c r="H69" s="250">
        <f>((G31+H14))/'Ipoteze de lucru'!$C$22</f>
        <v>13256.875</v>
      </c>
      <c r="I69" s="250">
        <f>((H31+I14))/'Ipoteze de lucru'!$C$22</f>
        <v>13869.15</v>
      </c>
      <c r="J69" s="250">
        <f>((I31+J14))/'Ipoteze de lucru'!$C$22</f>
        <v>14016.27275</v>
      </c>
      <c r="K69" s="250">
        <f>((J31+K14))/'Ipoteze de lucru'!$C$22</f>
        <v>14016.27275</v>
      </c>
      <c r="L69" s="250">
        <f>((K31+L14))/'Ipoteze de lucru'!$C$22</f>
        <v>14162.047750000002</v>
      </c>
      <c r="N69" s="415">
        <f t="shared" si="24"/>
        <v>13838.342378759153</v>
      </c>
      <c r="O69" s="396"/>
    </row>
    <row r="70" spans="1:15" s="276" customFormat="1" outlineLevel="1" x14ac:dyDescent="0.25">
      <c r="A70" s="319"/>
      <c r="B70" s="278" t="e">
        <f>IF(LIMBA="ROMANA","Materiale (fara materiale specifice FiberCity, camere de tragere)","Materials for the year (without materials specific for Fibercity, manholes)")</f>
        <v>#REF!</v>
      </c>
      <c r="C70" s="263">
        <f>C32/'Ipoteze de lucru'!$C$23</f>
        <v>26348.08477085</v>
      </c>
      <c r="D70" s="263">
        <f>(C32+D15)/'Ipoteze de lucru'!$C$23</f>
        <v>37445.02255486272</v>
      </c>
      <c r="E70" s="263">
        <f>(D32+E15)/'Ipoteze de lucru'!$C$23</f>
        <v>190990.23207236285</v>
      </c>
      <c r="F70" s="263">
        <f>(E32+F15)/'Ipoteze de lucru'!$C$23</f>
        <v>330570.62259232515</v>
      </c>
      <c r="G70" s="263">
        <f>(F32+G15)/'Ipoteze de lucru'!$C$23</f>
        <v>386818.51699232514</v>
      </c>
      <c r="H70" s="264">
        <f>((G32+H15))/'Ipoteze de lucru'!$C$23</f>
        <v>397694.63409232517</v>
      </c>
      <c r="I70" s="264">
        <f>((H32+I15))/'Ipoteze de lucru'!$C$23</f>
        <v>405737.65909232514</v>
      </c>
      <c r="J70" s="264">
        <f>((I32+J15))/'Ipoteze de lucru'!$C$23</f>
        <v>408443.2160973252</v>
      </c>
      <c r="K70" s="264">
        <f>((J32+K15))/'Ipoteze de lucru'!$C$23</f>
        <v>410353.94109732518</v>
      </c>
      <c r="L70" s="264">
        <f>((K32+L15))/'Ipoteze de lucru'!$C$23</f>
        <v>511527.01609732519</v>
      </c>
      <c r="M70" s="32"/>
      <c r="N70" s="440">
        <f t="shared" si="24"/>
        <v>519326.07012795506</v>
      </c>
      <c r="O70" s="396"/>
    </row>
    <row r="71" spans="1:15" s="276" customFormat="1" outlineLevel="1" x14ac:dyDescent="0.25">
      <c r="A71" s="319"/>
      <c r="B71" s="278" t="s">
        <v>86</v>
      </c>
      <c r="C71" s="263">
        <f>C33/'Ipoteze de lucru'!$C$23</f>
        <v>0</v>
      </c>
      <c r="D71" s="263">
        <f>(C33+D16)/'Ipoteze de lucru'!$C$23</f>
        <v>-770.34114000000011</v>
      </c>
      <c r="E71" s="263">
        <f>(D33+E16)/'Ipoteze de lucru'!$C$23</f>
        <v>6155.6810925000009</v>
      </c>
      <c r="F71" s="263">
        <f>(E33+F16)/'Ipoteze de lucru'!$C$23</f>
        <v>73307.948660610855</v>
      </c>
      <c r="G71" s="263">
        <f>(F33+G16)/'Ipoteze de lucru'!$C$23</f>
        <v>90968.079260610859</v>
      </c>
      <c r="H71" s="264">
        <f>((G33+H16))/'Ipoteze de lucru'!$C$23</f>
        <v>91582.762160610859</v>
      </c>
      <c r="I71" s="264">
        <f>((H33+I16))/'Ipoteze de lucru'!$C$23</f>
        <v>91968.997900610862</v>
      </c>
      <c r="J71" s="264">
        <f>((I33+J16))/'Ipoteze de lucru'!$C$23</f>
        <v>92946.231150610867</v>
      </c>
      <c r="K71" s="264">
        <f>((J33+K16))/'Ipoteze de lucru'!$C$23</f>
        <v>93852.859266571351</v>
      </c>
      <c r="L71" s="264">
        <f>((K33+L16))/'Ipoteze de lucru'!$C$23</f>
        <v>95641.727226571355</v>
      </c>
      <c r="M71" s="32"/>
      <c r="N71" s="415">
        <f t="shared" si="24"/>
        <v>97159.206183645379</v>
      </c>
      <c r="O71" s="396"/>
    </row>
    <row r="72" spans="1:15" outlineLevel="1" x14ac:dyDescent="0.25">
      <c r="B72" s="115" t="s">
        <v>83</v>
      </c>
      <c r="C72" s="250">
        <f>C34/'Ipoteze de lucru'!$C$23</f>
        <v>0</v>
      </c>
      <c r="D72" s="250">
        <f>(C34+D17)/'Ipoteze de lucru'!$C$23</f>
        <v>-610.80679500000008</v>
      </c>
      <c r="E72" s="250">
        <f>(D34+E17)/'Ipoteze de lucru'!$C$23</f>
        <v>15274.198380000002</v>
      </c>
      <c r="F72" s="250">
        <f>(E34+F17)/'Ipoteze de lucru'!$C$23</f>
        <v>34283.29883</v>
      </c>
      <c r="G72" s="250">
        <f>(F34+G17)/'Ipoteze de lucru'!$C$23</f>
        <v>62502.924029999995</v>
      </c>
      <c r="H72" s="250">
        <f>(G34+H17)/'Ipoteze de lucru'!$C$23</f>
        <v>63023.261279999999</v>
      </c>
      <c r="I72" s="250">
        <f>(H34+I17)/'Ipoteze de lucru'!$C$23</f>
        <v>63123.153665000005</v>
      </c>
      <c r="J72" s="250">
        <f>(I34+J17)/'Ipoteze de lucru'!$C$23</f>
        <v>63601.102289999995</v>
      </c>
      <c r="K72" s="250">
        <f>(J34+K17)/'Ipoteze de lucru'!$C$23</f>
        <v>64131.24123</v>
      </c>
      <c r="L72" s="250">
        <f>(K34+L17)/'Ipoteze de lucru'!$C$23</f>
        <v>66295.607010000007</v>
      </c>
      <c r="N72" s="440">
        <f t="shared" si="24"/>
        <v>66570.237496214657</v>
      </c>
      <c r="O72" s="396"/>
    </row>
    <row r="73" spans="1:15" outlineLevel="1" x14ac:dyDescent="0.25">
      <c r="B73" s="115" t="s">
        <v>84</v>
      </c>
      <c r="C73" s="250">
        <f>C35/'Ipoteze de lucru'!$C$23</f>
        <v>0</v>
      </c>
      <c r="D73" s="250">
        <f>(C35+D18)/'Ipoteze de lucru'!$C$23</f>
        <v>-159.534345</v>
      </c>
      <c r="E73" s="250">
        <f>(D35+E18)/'Ipoteze de lucru'!$C$23</f>
        <v>-9118.5172875000007</v>
      </c>
      <c r="F73" s="250">
        <f>(E35+F18)/'Ipoteze de lucru'!$C$23</f>
        <v>18677.445022499996</v>
      </c>
      <c r="G73" s="250">
        <f>(F35+G18)/'Ipoteze de lucru'!$C$23</f>
        <v>8117.9504224999964</v>
      </c>
      <c r="H73" s="250">
        <f>((G35+H18))/'Ipoteze de lucru'!$C$23</f>
        <v>8212.2960724999975</v>
      </c>
      <c r="I73" s="250">
        <f>((H35+I18))/'Ipoteze de lucru'!$C$23</f>
        <v>8498.6394274999966</v>
      </c>
      <c r="J73" s="250">
        <f>((I35+J18))/'Ipoteze de lucru'!$C$23</f>
        <v>8997.9240524999968</v>
      </c>
      <c r="K73" s="250">
        <f>((J35+K18))/'Ipoteze de lucru'!$C$23</f>
        <v>9374.413228460493</v>
      </c>
      <c r="L73" s="250">
        <f>((K35+L18))/'Ipoteze de lucru'!$C$23</f>
        <v>8998.9154084604925</v>
      </c>
      <c r="N73" s="440">
        <f t="shared" si="24"/>
        <v>9681.202663408043</v>
      </c>
      <c r="O73" s="396"/>
    </row>
    <row r="74" spans="1:15" s="276" customFormat="1" outlineLevel="1" x14ac:dyDescent="0.25">
      <c r="A74" s="319"/>
      <c r="B74" s="278" t="e">
        <f>IF(LIMBA="ROMANA","Materiale - fibra optica ","Materials for the year - fiber optics")</f>
        <v>#REF!</v>
      </c>
      <c r="C74" s="284">
        <f>C36/'Ipoteze de lucru'!$C$23</f>
        <v>0</v>
      </c>
      <c r="D74" s="284">
        <f>(C36+D19)/'Ipoteze de lucru'!$C$23</f>
        <v>0</v>
      </c>
      <c r="E74" s="284">
        <f>(D36+E19)/'Ipoteze de lucru'!$C$23</f>
        <v>0</v>
      </c>
      <c r="F74" s="284">
        <f>(E36+F19)/'Ipoteze de lucru'!$C$23</f>
        <v>0</v>
      </c>
      <c r="G74" s="284">
        <f>(F36+G19)/'Ipoteze de lucru'!$C$24</f>
        <v>4346.6000000000004</v>
      </c>
      <c r="H74" s="284">
        <f>((G36+H19))/'Ipoteze de lucru'!$C$24</f>
        <v>7144.75</v>
      </c>
      <c r="I74" s="284">
        <f>((H36+I19))/'Ipoteze de lucru'!$C$24</f>
        <v>7448.85</v>
      </c>
      <c r="J74" s="284">
        <f>((I36+J19))/'Ipoteze de lucru'!$C$24</f>
        <v>7756.4675000000007</v>
      </c>
      <c r="K74" s="284">
        <f>((J36+K19))/'Ipoteze de lucru'!$C$24</f>
        <v>7794.8675000000003</v>
      </c>
      <c r="L74" s="284">
        <f>((K36+L19))/'Ipoteze de lucru'!$C$24</f>
        <v>7840.2674999999999</v>
      </c>
      <c r="M74" s="32"/>
      <c r="N74" s="440">
        <f t="shared" si="24"/>
        <v>4345.5923624774996</v>
      </c>
      <c r="O74" s="396"/>
    </row>
    <row r="75" spans="1:15" outlineLevel="1" x14ac:dyDescent="0.25">
      <c r="B75" s="34" t="e">
        <f>IF(LIMBA="ROMANA","Alte materiale specifice FiberCity","Other materials for the year specific for FiberCity")</f>
        <v>#REF!</v>
      </c>
      <c r="C75" s="260">
        <f>C20*1/'Ipoteze de lucru'!$C$24</f>
        <v>0</v>
      </c>
      <c r="D75" s="260">
        <f>(C37+D20)*1/'Ipoteze de lucru'!$C$24</f>
        <v>0</v>
      </c>
      <c r="E75" s="260">
        <f>(D37+E20)*1/'Ipoteze de lucru'!$C$24</f>
        <v>0</v>
      </c>
      <c r="F75" s="260">
        <f>(E37+F20)*1/'Ipoteze de lucru'!$C$24</f>
        <v>0</v>
      </c>
      <c r="G75" s="260">
        <f>(F37+G20)*1/'Ipoteze de lucru'!$C$24</f>
        <v>3266.05</v>
      </c>
      <c r="H75" s="261">
        <f>(G37+H20)/'Ipoteze de lucru'!$C$24</f>
        <v>3266.05</v>
      </c>
      <c r="I75" s="261">
        <f>(H37+I20)/'Ipoteze de lucru'!$C$24</f>
        <v>3266.05</v>
      </c>
      <c r="J75" s="261">
        <f>(I37+J20)/'Ipoteze de lucru'!$C$24</f>
        <v>3266.05</v>
      </c>
      <c r="K75" s="261">
        <f>(J37+K20)/'Ipoteze de lucru'!$C$24</f>
        <v>3266.05</v>
      </c>
      <c r="L75" s="261">
        <f>(K37+L20)/'Ipoteze de lucru'!$C$24</f>
        <v>3266.05</v>
      </c>
      <c r="N75" s="440">
        <f t="shared" si="24"/>
        <v>1804.8367666372867</v>
      </c>
      <c r="O75" s="396"/>
    </row>
    <row r="76" spans="1:15" outlineLevel="1" x14ac:dyDescent="0.25">
      <c r="B76" s="95" t="s">
        <v>87</v>
      </c>
      <c r="C76" s="260">
        <f>C21*1/'Ipoteze de lucru'!$C$22</f>
        <v>0</v>
      </c>
      <c r="D76" s="260">
        <f>(C38+D21)*1/'Ipoteze de lucru'!$C$22</f>
        <v>0</v>
      </c>
      <c r="E76" s="260">
        <f>(D38+E21)*1/'Ipoteze de lucru'!$C$22</f>
        <v>0</v>
      </c>
      <c r="F76" s="260">
        <f>(E38+F21)*1/'Ipoteze de lucru'!$C$22</f>
        <v>0</v>
      </c>
      <c r="G76" s="260">
        <f>(F38+G21)*1/'Ipoteze de lucru'!$C$22</f>
        <v>0</v>
      </c>
      <c r="H76" s="261">
        <f>((G38+H21))*1/'Ipoteze de lucru'!$C$22</f>
        <v>8089.2250000000004</v>
      </c>
      <c r="I76" s="261">
        <f>((H38+I21))*1/'Ipoteze de lucru'!$C$22</f>
        <v>8089.2250000000004</v>
      </c>
      <c r="J76" s="261">
        <f>((I38+J21))*1/'Ipoteze de lucru'!$C$22</f>
        <v>8089.2250000000004</v>
      </c>
      <c r="K76" s="261">
        <f>((J38+K21))*1/'Ipoteze de lucru'!$C$22</f>
        <v>8089.2250000000004</v>
      </c>
      <c r="L76" s="261">
        <f>((K38+L21))*1/'Ipoteze de lucru'!$C$22</f>
        <v>16531.2</v>
      </c>
      <c r="N76" s="415">
        <f t="shared" si="24"/>
        <v>16018.954224303558</v>
      </c>
      <c r="O76" s="396"/>
    </row>
    <row r="77" spans="1:15" x14ac:dyDescent="0.25">
      <c r="B77" s="33" t="s">
        <v>92</v>
      </c>
      <c r="C77" s="262"/>
      <c r="D77" s="262"/>
      <c r="E77" s="262"/>
      <c r="F77" s="262"/>
      <c r="G77" s="264">
        <f>OPEX!D27</f>
        <v>75369</v>
      </c>
      <c r="H77" s="264">
        <f>G77</f>
        <v>75369</v>
      </c>
      <c r="I77" s="264">
        <f t="shared" ref="I77:L77" si="25">H77</f>
        <v>75369</v>
      </c>
      <c r="J77" s="264">
        <f t="shared" si="25"/>
        <v>75369</v>
      </c>
      <c r="K77" s="264">
        <f t="shared" si="25"/>
        <v>75369</v>
      </c>
      <c r="L77" s="264">
        <f t="shared" si="25"/>
        <v>75369</v>
      </c>
      <c r="N77" s="415"/>
      <c r="O77" s="396"/>
    </row>
    <row r="78" spans="1:15" x14ac:dyDescent="0.25">
      <c r="B78" s="582"/>
      <c r="C78" s="581"/>
      <c r="D78" s="581"/>
      <c r="E78" s="581"/>
      <c r="F78" s="581"/>
      <c r="G78" s="581"/>
      <c r="H78" s="581"/>
      <c r="I78" s="581"/>
      <c r="J78" s="581"/>
      <c r="K78" s="581"/>
      <c r="L78" s="581"/>
      <c r="N78" s="216"/>
    </row>
    <row r="79" spans="1:15" x14ac:dyDescent="0.25">
      <c r="B79" s="85" t="e">
        <f>IF(LIMBA="ROMANA","Categorii de costuri CAPEX excluse din calcul ","CAPEX Cost categories eliminated from the calculation")</f>
        <v>#REF!</v>
      </c>
      <c r="C79" s="265" t="str">
        <f>IF($B$140="ROMANA","Final 2008","end 2008")</f>
        <v>end 2008</v>
      </c>
      <c r="D79" s="265" t="str">
        <f>IF($B$140="ROMANA","Final 2009","end 2009")</f>
        <v>end 2009</v>
      </c>
      <c r="E79" s="265" t="str">
        <f>IF($B$140="ROMANA","Final 2010","end 2010")</f>
        <v>end 2010</v>
      </c>
      <c r="F79" s="265" t="str">
        <f>IF($B$140="ROMANA","Final 2011","end 2011")</f>
        <v>end 2011</v>
      </c>
      <c r="G79" s="265" t="str">
        <f>IF($B$140="ROMANA","Final 2012","end 2012")</f>
        <v>end 2012</v>
      </c>
      <c r="H79" s="265" t="s">
        <v>72</v>
      </c>
      <c r="I79" s="265"/>
      <c r="J79" s="265"/>
      <c r="K79" s="265"/>
      <c r="L79" s="265"/>
      <c r="N79" s="216"/>
    </row>
    <row r="80" spans="1:15" x14ac:dyDescent="0.25">
      <c r="B80" s="37" t="e">
        <f>IF(LIMBA="ROMANA","Costuri de finantare","Financing costs**")</f>
        <v>#REF!</v>
      </c>
      <c r="C80" s="260">
        <v>0</v>
      </c>
      <c r="D80" s="260">
        <v>0</v>
      </c>
      <c r="E80" s="471">
        <v>398583</v>
      </c>
      <c r="F80" s="471">
        <v>427924</v>
      </c>
      <c r="G80" s="471">
        <v>504432</v>
      </c>
      <c r="H80" s="261">
        <f>'CAPEX 2013'!H8</f>
        <v>19635</v>
      </c>
      <c r="I80" s="261"/>
      <c r="J80" s="261"/>
      <c r="K80" s="261"/>
      <c r="L80" s="261"/>
      <c r="N80" s="216"/>
    </row>
    <row r="81" spans="2:14" x14ac:dyDescent="0.25">
      <c r="B81" s="37" t="s">
        <v>93</v>
      </c>
      <c r="C81" s="601" t="s">
        <v>94</v>
      </c>
      <c r="D81" s="602"/>
      <c r="E81" s="602"/>
      <c r="F81" s="602"/>
      <c r="G81" s="603"/>
      <c r="H81" s="266"/>
      <c r="I81" s="266"/>
      <c r="J81" s="266"/>
      <c r="K81" s="266"/>
      <c r="L81" s="266"/>
      <c r="N81" s="216"/>
    </row>
    <row r="82" spans="2:14" x14ac:dyDescent="0.25">
      <c r="B82" s="40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N82" s="216"/>
    </row>
    <row r="83" spans="2:14" ht="15" customHeight="1" x14ac:dyDescent="0.25">
      <c r="B83" s="85" t="s">
        <v>95</v>
      </c>
      <c r="C83" s="265" t="str">
        <f>IF($B$140="ROMANA","Final 2008","end 2008")</f>
        <v>end 2008</v>
      </c>
      <c r="D83" s="265" t="str">
        <f>IF($B$140="ROMANA","Final 2009","end 2009")</f>
        <v>end 2009</v>
      </c>
      <c r="E83" s="265" t="str">
        <f>IF($B$140="ROMANA","Final 2010","end 2010")</f>
        <v>end 2010</v>
      </c>
      <c r="F83" s="265" t="str">
        <f>IF($B$140="ROMANA","Final 2011*","end 2011")</f>
        <v>end 2011</v>
      </c>
      <c r="G83" s="265" t="str">
        <f>IF($B$140="ROMANA","Final 2012","end 2012")</f>
        <v>end 2012</v>
      </c>
      <c r="H83" s="265" t="s">
        <v>72</v>
      </c>
      <c r="I83" s="265"/>
      <c r="J83" s="265"/>
      <c r="K83" s="265"/>
      <c r="L83" s="265"/>
      <c r="N83" s="216"/>
    </row>
    <row r="84" spans="2:14" ht="15" customHeight="1" x14ac:dyDescent="0.25">
      <c r="B84" s="116" t="s">
        <v>96</v>
      </c>
      <c r="C84" s="260">
        <v>0</v>
      </c>
      <c r="D84" s="260">
        <v>0</v>
      </c>
      <c r="E84" s="260">
        <v>0</v>
      </c>
      <c r="F84" s="261">
        <f>'Capacitati 2017'!E36</f>
        <v>454789.85383368627</v>
      </c>
      <c r="G84" s="261"/>
      <c r="H84" s="261"/>
      <c r="I84" s="261"/>
      <c r="J84" s="261"/>
      <c r="K84" s="261"/>
      <c r="L84" s="261"/>
      <c r="N84" s="216"/>
    </row>
    <row r="85" spans="2:14" ht="15" customHeight="1" x14ac:dyDescent="0.25">
      <c r="B85" s="116" t="s">
        <v>97</v>
      </c>
      <c r="C85" s="260">
        <v>0</v>
      </c>
      <c r="D85" s="260">
        <v>0</v>
      </c>
      <c r="E85" s="260">
        <v>0</v>
      </c>
      <c r="F85" s="261">
        <f>'Capacitati 2017'!E31</f>
        <v>3915355.8226433876</v>
      </c>
      <c r="G85" s="261"/>
      <c r="H85" s="261"/>
      <c r="I85" s="261"/>
      <c r="J85" s="261"/>
      <c r="K85" s="261"/>
      <c r="L85" s="261"/>
    </row>
    <row r="86" spans="2:14" x14ac:dyDescent="0.25">
      <c r="B86" s="40"/>
      <c r="C86" s="266"/>
      <c r="D86" s="266"/>
      <c r="E86" s="266"/>
      <c r="F86" s="266"/>
      <c r="G86" s="266"/>
      <c r="H86" s="266"/>
      <c r="I86" s="266"/>
      <c r="J86" s="266"/>
      <c r="K86" s="266"/>
      <c r="L86" s="266"/>
    </row>
    <row r="87" spans="2:14" x14ac:dyDescent="0.25">
      <c r="B87" s="40"/>
      <c r="C87" s="267"/>
      <c r="D87" s="267"/>
      <c r="E87" s="267"/>
      <c r="F87" s="267"/>
      <c r="G87" s="267"/>
      <c r="H87" s="267"/>
      <c r="I87" s="267"/>
      <c r="J87" s="267"/>
      <c r="K87" s="267"/>
      <c r="L87" s="267"/>
    </row>
    <row r="88" spans="2:14" ht="15.75" thickBot="1" x14ac:dyDescent="0.3">
      <c r="B88" s="40"/>
      <c r="C88" s="275" t="str">
        <f>IF($B$140="ROMANA","Final 2011","end 2011")</f>
        <v>end 2011</v>
      </c>
      <c r="D88" s="275" t="str">
        <f>IF($B$140="ROMANA","Final 2012","end 2012")</f>
        <v>end 2012</v>
      </c>
      <c r="E88" s="275" t="s">
        <v>72</v>
      </c>
      <c r="F88" s="267"/>
      <c r="G88" s="267"/>
      <c r="H88" s="267"/>
      <c r="I88" s="267"/>
      <c r="J88" s="267"/>
      <c r="K88" s="267"/>
      <c r="L88" s="267"/>
    </row>
    <row r="89" spans="2:14" ht="15.75" thickBot="1" x14ac:dyDescent="0.3">
      <c r="B89" s="86" t="s">
        <v>98</v>
      </c>
      <c r="C89" s="473">
        <v>415885</v>
      </c>
      <c r="D89" s="473">
        <v>717380</v>
      </c>
      <c r="E89" s="268"/>
      <c r="F89" s="269"/>
      <c r="G89" s="269"/>
      <c r="H89" s="269"/>
      <c r="I89" s="269"/>
      <c r="J89" s="269"/>
      <c r="K89" s="269"/>
      <c r="L89" s="269"/>
    </row>
    <row r="90" spans="2:14" x14ac:dyDescent="0.25">
      <c r="B90" s="40"/>
      <c r="C90" s="270"/>
      <c r="D90" s="270"/>
      <c r="E90" s="270"/>
      <c r="F90" s="270"/>
      <c r="G90" s="270"/>
      <c r="H90" s="270"/>
      <c r="I90" s="270"/>
      <c r="J90" s="270"/>
      <c r="K90" s="270"/>
      <c r="L90" s="270"/>
    </row>
    <row r="91" spans="2:14" x14ac:dyDescent="0.25">
      <c r="B91" s="40"/>
      <c r="C91" s="270"/>
      <c r="D91" s="270"/>
      <c r="E91" s="270"/>
      <c r="F91" s="270"/>
      <c r="G91" s="270"/>
      <c r="H91" s="270"/>
      <c r="I91" s="270"/>
      <c r="J91" s="270"/>
      <c r="K91" s="270"/>
      <c r="L91" s="270"/>
    </row>
    <row r="92" spans="2:14" x14ac:dyDescent="0.25">
      <c r="B92" s="582"/>
      <c r="C92" s="583"/>
      <c r="D92" s="583"/>
      <c r="E92" s="583"/>
      <c r="F92" s="583"/>
      <c r="G92" s="581"/>
      <c r="H92" s="581"/>
      <c r="I92" s="581"/>
      <c r="J92" s="581"/>
      <c r="K92" s="581"/>
      <c r="L92" s="581"/>
    </row>
    <row r="93" spans="2:14" x14ac:dyDescent="0.25">
      <c r="B93" s="36"/>
      <c r="C93" s="271"/>
      <c r="D93" s="271"/>
      <c r="E93" s="271"/>
      <c r="F93" s="271"/>
      <c r="G93" s="272"/>
      <c r="H93" s="272"/>
      <c r="I93" s="272"/>
      <c r="J93" s="272"/>
      <c r="K93" s="272"/>
      <c r="L93" s="272"/>
    </row>
    <row r="94" spans="2:14" ht="31.5" customHeight="1" x14ac:dyDescent="0.25">
      <c r="C94" s="583"/>
      <c r="D94" s="583"/>
      <c r="E94" s="583"/>
      <c r="F94" s="583"/>
      <c r="G94" s="581"/>
      <c r="H94" s="273"/>
      <c r="I94" s="325"/>
      <c r="J94" s="324"/>
      <c r="K94" s="273"/>
      <c r="L94" s="273"/>
    </row>
  </sheetData>
  <mergeCells count="1">
    <mergeCell ref="C81:G81"/>
  </mergeCells>
  <pageMargins left="0.7" right="0.7" top="0.75" bottom="0.75" header="0.3" footer="0.3"/>
  <pageSetup paperSize="9" scale="43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B1:I88"/>
  <sheetViews>
    <sheetView zoomScale="115" zoomScaleNormal="115" workbookViewId="0">
      <selection activeCell="C11" sqref="C11"/>
    </sheetView>
  </sheetViews>
  <sheetFormatPr defaultColWidth="9.140625" defaultRowHeight="11.25" customHeight="1" x14ac:dyDescent="0.2"/>
  <cols>
    <col min="1" max="1" width="2.42578125" style="1" customWidth="1"/>
    <col min="2" max="2" width="39.42578125" style="2" customWidth="1"/>
    <col min="3" max="3" width="14.42578125" style="1" customWidth="1"/>
    <col min="4" max="4" width="14.5703125" style="1" customWidth="1"/>
    <col min="5" max="5" width="17.140625" style="1" customWidth="1"/>
    <col min="6" max="6" width="14.5703125" style="1" customWidth="1"/>
    <col min="7" max="7" width="14.140625" style="1" bestFit="1" customWidth="1"/>
    <col min="8" max="8" width="1.140625" style="1" customWidth="1"/>
    <col min="9" max="16384" width="9.140625" style="1"/>
  </cols>
  <sheetData>
    <row r="1" spans="2:9" s="2" customFormat="1" ht="11.25" customHeight="1" x14ac:dyDescent="0.2">
      <c r="B1" s="4"/>
      <c r="C1" s="1">
        <f>1/'Ipoteze de lucru'!C15</f>
        <v>0.22629554197782306</v>
      </c>
      <c r="D1" s="2">
        <f>1/'Ipoteze de lucru'!C19</f>
        <v>0.21890939340207086</v>
      </c>
      <c r="E1" s="2">
        <v>2</v>
      </c>
    </row>
    <row r="2" spans="2:9" s="282" customFormat="1" ht="11.25" customHeight="1" x14ac:dyDescent="0.2">
      <c r="B2" s="311"/>
      <c r="C2" s="312" t="s">
        <v>99</v>
      </c>
      <c r="D2" s="312" t="s">
        <v>100</v>
      </c>
      <c r="E2" s="312" t="s">
        <v>101</v>
      </c>
      <c r="F2" s="313" t="s">
        <v>102</v>
      </c>
      <c r="G2" s="314" t="s">
        <v>103</v>
      </c>
    </row>
    <row r="3" spans="2:9" s="2" customFormat="1" ht="11.25" customHeight="1" x14ac:dyDescent="0.2">
      <c r="B3" s="315" t="s">
        <v>54</v>
      </c>
      <c r="C3" s="9">
        <f>OPEX!C14</f>
        <v>249348</v>
      </c>
      <c r="D3" s="9">
        <f>OPEX!D14</f>
        <v>1239485</v>
      </c>
      <c r="E3" s="9">
        <f t="shared" ref="E3:E11" si="0">SUMPRODUCT(C3:D3,$C$1:$D$1)/$E$1</f>
        <v>163880.62514102602</v>
      </c>
      <c r="F3" s="9">
        <f t="shared" ref="F3:F14" si="1">E3</f>
        <v>163880.62514102602</v>
      </c>
      <c r="G3" s="9">
        <f>F3/12</f>
        <v>13656.718761752169</v>
      </c>
    </row>
    <row r="4" spans="2:9" s="2" customFormat="1" ht="11.25" customHeight="1" x14ac:dyDescent="0.2">
      <c r="B4" s="315" t="s">
        <v>55</v>
      </c>
      <c r="C4" s="9">
        <f>OPEX!C45</f>
        <v>357421</v>
      </c>
      <c r="D4" s="9">
        <f>OPEX!D45</f>
        <v>0</v>
      </c>
      <c r="E4" s="9">
        <f t="shared" si="0"/>
        <v>40441.389454627752</v>
      </c>
      <c r="F4" s="9">
        <f t="shared" si="1"/>
        <v>40441.389454627752</v>
      </c>
      <c r="G4" s="9">
        <f t="shared" ref="G4:G13" si="2">F4/12</f>
        <v>3370.1157878856461</v>
      </c>
    </row>
    <row r="5" spans="2:9" s="2" customFormat="1" ht="11.25" customHeight="1" x14ac:dyDescent="0.2">
      <c r="B5" s="315" t="s">
        <v>56</v>
      </c>
      <c r="C5" s="9">
        <f>OPEX!C4</f>
        <v>786943</v>
      </c>
      <c r="D5" s="9">
        <f>OPEX!D4</f>
        <v>231569</v>
      </c>
      <c r="E5" s="9">
        <f t="shared" si="0"/>
        <v>114387.16100568908</v>
      </c>
      <c r="F5" s="9">
        <f t="shared" si="1"/>
        <v>114387.16100568908</v>
      </c>
      <c r="G5" s="9">
        <f t="shared" si="2"/>
        <v>9532.2634171407572</v>
      </c>
    </row>
    <row r="6" spans="2:9" s="2" customFormat="1" ht="11.25" customHeight="1" x14ac:dyDescent="0.2">
      <c r="B6" s="315" t="s">
        <v>57</v>
      </c>
      <c r="C6" s="9">
        <f>OPEX!C17</f>
        <v>516702</v>
      </c>
      <c r="D6" s="9">
        <f>OPEX!D17</f>
        <v>233654</v>
      </c>
      <c r="E6" s="9">
        <f t="shared" si="0"/>
        <v>84038.207268496306</v>
      </c>
      <c r="F6" s="9">
        <f t="shared" si="1"/>
        <v>84038.207268496306</v>
      </c>
      <c r="G6" s="9">
        <f t="shared" si="2"/>
        <v>7003.1839390413588</v>
      </c>
    </row>
    <row r="7" spans="2:9" s="2" customFormat="1" ht="11.25" customHeight="1" x14ac:dyDescent="0.2">
      <c r="B7" s="315" t="s">
        <v>59</v>
      </c>
      <c r="C7" s="9">
        <f>OPEX!C52</f>
        <v>234529</v>
      </c>
      <c r="D7" s="9">
        <f>OPEX!D52</f>
        <v>89563</v>
      </c>
      <c r="E7" s="9">
        <f t="shared" si="0"/>
        <v>36339.524582893268</v>
      </c>
      <c r="F7" s="9">
        <f t="shared" si="1"/>
        <v>36339.524582893268</v>
      </c>
      <c r="G7" s="9">
        <f t="shared" si="2"/>
        <v>3028.2937152411055</v>
      </c>
    </row>
    <row r="8" spans="2:9" s="2" customFormat="1" ht="11.25" customHeight="1" x14ac:dyDescent="0.2">
      <c r="B8" s="315" t="s">
        <v>104</v>
      </c>
      <c r="C8" s="388">
        <f>OPEX!C51-C7</f>
        <v>1522321</v>
      </c>
      <c r="D8" s="9">
        <f>OPEX!D51-D7</f>
        <v>325896</v>
      </c>
      <c r="E8" s="9">
        <f t="shared" si="0"/>
        <v>207918.07571569143</v>
      </c>
      <c r="F8" s="9">
        <f t="shared" si="1"/>
        <v>207918.07571569143</v>
      </c>
      <c r="G8" s="9">
        <f t="shared" si="2"/>
        <v>17326.506309640954</v>
      </c>
    </row>
    <row r="9" spans="2:9" s="2" customFormat="1" ht="11.25" customHeight="1" x14ac:dyDescent="0.2">
      <c r="B9" s="315" t="s">
        <v>63</v>
      </c>
      <c r="C9" s="348">
        <f>OPEX!C50</f>
        <v>207543</v>
      </c>
      <c r="D9" s="9">
        <f>OPEX!D50</f>
        <v>0</v>
      </c>
      <c r="E9" s="9">
        <f t="shared" si="0"/>
        <v>23483.027834351666</v>
      </c>
      <c r="F9" s="9">
        <f t="shared" si="1"/>
        <v>23483.027834351666</v>
      </c>
      <c r="G9" s="9">
        <f t="shared" si="2"/>
        <v>1956.9189861959721</v>
      </c>
      <c r="I9" s="393"/>
    </row>
    <row r="10" spans="2:9" s="2" customFormat="1" ht="11.25" customHeight="1" x14ac:dyDescent="0.2">
      <c r="B10" s="315" t="s">
        <v>61</v>
      </c>
      <c r="C10" s="9">
        <f>OPEX!C46</f>
        <v>3061553</v>
      </c>
      <c r="D10" s="9">
        <f>OPEX!D46</f>
        <v>581865</v>
      </c>
      <c r="E10" s="9">
        <f t="shared" si="0"/>
        <v>410095.754810363</v>
      </c>
      <c r="F10" s="9">
        <f t="shared" si="1"/>
        <v>410095.754810363</v>
      </c>
      <c r="G10" s="348">
        <v>0</v>
      </c>
      <c r="I10" s="393"/>
    </row>
    <row r="11" spans="2:9" s="2" customFormat="1" ht="11.25" customHeight="1" x14ac:dyDescent="0.2">
      <c r="B11" s="315" t="s">
        <v>105</v>
      </c>
      <c r="C11" s="9">
        <f>OPEX!C21+OPEX!C46-C10</f>
        <v>14261338</v>
      </c>
      <c r="D11" s="9">
        <f>OPEX!D21+OPEX!D46-D10</f>
        <v>5078072</v>
      </c>
      <c r="E11" s="9">
        <f t="shared" si="0"/>
        <v>2169457.4366054819</v>
      </c>
      <c r="F11" s="9">
        <f t="shared" si="1"/>
        <v>2169457.4366054819</v>
      </c>
      <c r="G11" s="348">
        <f>OPEX!I56</f>
        <v>75326.612814955879</v>
      </c>
    </row>
    <row r="12" spans="2:9" s="2" customFormat="1" ht="11.25" customHeight="1" x14ac:dyDescent="0.2">
      <c r="B12" s="315" t="s">
        <v>106</v>
      </c>
      <c r="C12" s="9">
        <f>OPEX!C6+OPEX!C19</f>
        <v>20479218</v>
      </c>
      <c r="D12" s="9">
        <f>OPEX!D6+OPEX!D19</f>
        <v>20697218</v>
      </c>
      <c r="E12" s="9">
        <f>SUMPRODUCT(C12:D12,$C$1:$D$1)/$E$1</f>
        <v>4582585.5870412067</v>
      </c>
      <c r="F12" s="9">
        <f t="shared" si="1"/>
        <v>4582585.5870412067</v>
      </c>
      <c r="G12" s="348">
        <f t="shared" si="2"/>
        <v>381882.13225343387</v>
      </c>
    </row>
    <row r="13" spans="2:9" s="317" customFormat="1" ht="11.25" customHeight="1" x14ac:dyDescent="0.2">
      <c r="B13" s="310"/>
      <c r="C13" s="316">
        <f>SUM(C3:C12)</f>
        <v>41676916</v>
      </c>
      <c r="D13" s="316">
        <f>SUM(D3:D12)</f>
        <v>28477322</v>
      </c>
      <c r="E13" s="316">
        <f t="shared" ref="E13" si="3">SUMPRODUCT(C13:D13,$C$1:$D$1)/$E$1</f>
        <v>7832626.7894598264</v>
      </c>
      <c r="F13" s="316">
        <f t="shared" si="1"/>
        <v>7832626.7894598264</v>
      </c>
      <c r="G13" s="316">
        <f t="shared" si="2"/>
        <v>652718.89912165224</v>
      </c>
    </row>
    <row r="14" spans="2:9" ht="11.25" customHeight="1" x14ac:dyDescent="0.2">
      <c r="B14" s="315" t="s">
        <v>107</v>
      </c>
      <c r="C14" s="9">
        <f>OPEX!C54</f>
        <v>0</v>
      </c>
      <c r="D14" s="9">
        <f>OPEX!D54</f>
        <v>0</v>
      </c>
      <c r="E14" s="9">
        <f>SUMPRODUCT(D14:D14,$D$1:$D$1)/$E$1</f>
        <v>0</v>
      </c>
      <c r="F14" s="9">
        <f t="shared" si="1"/>
        <v>0</v>
      </c>
      <c r="G14" s="9"/>
    </row>
    <row r="15" spans="2:9" ht="11.25" customHeight="1" x14ac:dyDescent="0.2">
      <c r="B15" s="315" t="s">
        <v>108</v>
      </c>
      <c r="C15" s="9">
        <f>C14+C13</f>
        <v>41676916</v>
      </c>
      <c r="D15" s="9">
        <f>D14+D13</f>
        <v>28477322</v>
      </c>
      <c r="E15" s="9">
        <f>E14+E13</f>
        <v>7832626.7894598264</v>
      </c>
      <c r="F15" s="9">
        <f>F14+F13</f>
        <v>7832626.7894598264</v>
      </c>
      <c r="G15" s="9">
        <f t="shared" ref="G15" si="4">G14+G13</f>
        <v>652718.89912165224</v>
      </c>
    </row>
    <row r="17" spans="3:7" ht="11.25" customHeight="1" x14ac:dyDescent="0.2">
      <c r="C17" s="31"/>
      <c r="D17" s="31"/>
      <c r="G17" s="31"/>
    </row>
    <row r="88" spans="2:2" ht="11.25" hidden="1" customHeight="1" thickBot="1" x14ac:dyDescent="0.25">
      <c r="B88" s="42" t="str">
        <f>Sumar!C2</f>
        <v>ROMANA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L44"/>
  <sheetViews>
    <sheetView zoomScale="115" zoomScaleNormal="115" workbookViewId="0">
      <selection activeCell="I24" sqref="I24"/>
    </sheetView>
  </sheetViews>
  <sheetFormatPr defaultColWidth="9.140625" defaultRowHeight="11.25" x14ac:dyDescent="0.2"/>
  <cols>
    <col min="1" max="1" width="3.42578125" style="1" customWidth="1"/>
    <col min="2" max="2" width="64.85546875" style="1" bestFit="1" customWidth="1"/>
    <col min="3" max="3" width="12.5703125" style="25" bestFit="1" customWidth="1"/>
    <col min="4" max="4" width="8.7109375" style="13" bestFit="1" customWidth="1"/>
    <col min="5" max="5" width="8.85546875" style="18" bestFit="1" customWidth="1"/>
    <col min="6" max="6" width="4" style="18" bestFit="1" customWidth="1"/>
    <col min="7" max="7" width="8" style="1" bestFit="1" customWidth="1"/>
    <col min="8" max="8" width="4" style="1" bestFit="1" customWidth="1"/>
    <col min="9" max="9" width="9.140625" style="1"/>
    <col min="10" max="10" width="10" style="1" bestFit="1" customWidth="1"/>
    <col min="11" max="16384" width="9.140625" style="1"/>
  </cols>
  <sheetData>
    <row r="2" spans="2:12" x14ac:dyDescent="0.2">
      <c r="B2" s="187" t="s">
        <v>109</v>
      </c>
    </row>
    <row r="4" spans="2:12" x14ac:dyDescent="0.2">
      <c r="B4" s="220" t="s">
        <v>110</v>
      </c>
      <c r="C4" s="60" t="s">
        <v>111</v>
      </c>
      <c r="D4" s="144" t="s">
        <v>112</v>
      </c>
      <c r="E4" s="144" t="s">
        <v>83</v>
      </c>
      <c r="F4" s="144" t="s">
        <v>113</v>
      </c>
      <c r="G4" s="144" t="s">
        <v>84</v>
      </c>
      <c r="H4" s="144" t="s">
        <v>113</v>
      </c>
    </row>
    <row r="5" spans="2:12" x14ac:dyDescent="0.2">
      <c r="B5" s="46" t="s">
        <v>114</v>
      </c>
      <c r="C5" s="63" t="s">
        <v>115</v>
      </c>
      <c r="D5" s="209">
        <f>E5+G5</f>
        <v>16700540</v>
      </c>
      <c r="E5" s="209">
        <f>'Capacitati 2017'!C12</f>
        <v>14300040</v>
      </c>
      <c r="F5" s="210">
        <f>E5/D5</f>
        <v>0.85626213284121355</v>
      </c>
      <c r="G5" s="209">
        <f>'Capacitati 2017'!D12</f>
        <v>2400500</v>
      </c>
      <c r="H5" s="162">
        <f>G5/D5</f>
        <v>0.14373786715878648</v>
      </c>
    </row>
    <row r="6" spans="2:12" x14ac:dyDescent="0.2">
      <c r="B6" s="46" t="s">
        <v>116</v>
      </c>
      <c r="C6" s="63" t="s">
        <v>115</v>
      </c>
      <c r="D6" s="209">
        <f>E17*8+G17</f>
        <v>5295412</v>
      </c>
      <c r="E6" s="209">
        <f>E17*8</f>
        <v>4988408</v>
      </c>
      <c r="F6" s="210"/>
      <c r="G6" s="209">
        <f>G17</f>
        <v>307004</v>
      </c>
      <c r="H6" s="151"/>
    </row>
    <row r="7" spans="2:12" x14ac:dyDescent="0.2">
      <c r="B7" s="46" t="s">
        <v>117</v>
      </c>
      <c r="C7" s="63" t="s">
        <v>115</v>
      </c>
      <c r="D7" s="209">
        <f>E17+G17-D20</f>
        <v>885255</v>
      </c>
      <c r="E7" s="209">
        <f>E17</f>
        <v>623551</v>
      </c>
      <c r="F7" s="210"/>
      <c r="G7" s="209">
        <f>G17-D20</f>
        <v>261704</v>
      </c>
      <c r="H7" s="151"/>
    </row>
    <row r="8" spans="2:12" x14ac:dyDescent="0.2">
      <c r="B8" s="46" t="s">
        <v>118</v>
      </c>
      <c r="C8" s="63" t="s">
        <v>115</v>
      </c>
      <c r="D8" s="209">
        <f>'Capacitati 2017'!E23*C24</f>
        <v>672752.64791046223</v>
      </c>
      <c r="E8" s="209">
        <f>'Capacitati 2017'!C23*'4. Capacitati de retea'!C24</f>
        <v>525187.02659097046</v>
      </c>
      <c r="F8" s="210"/>
      <c r="G8" s="209">
        <f>'Capacitati 2017'!D23*'4. Capacitati de retea'!C24</f>
        <v>147565.62131949174</v>
      </c>
      <c r="H8" s="162"/>
      <c r="J8" s="31"/>
    </row>
    <row r="9" spans="2:12" x14ac:dyDescent="0.2">
      <c r="B9" s="46" t="s">
        <v>119</v>
      </c>
      <c r="C9" s="63" t="s">
        <v>115</v>
      </c>
      <c r="D9" s="209">
        <f>D5*25%</f>
        <v>4175135</v>
      </c>
      <c r="E9" s="209">
        <f>E5*25%</f>
        <v>3575010</v>
      </c>
      <c r="F9" s="210"/>
      <c r="G9" s="209">
        <f>G5*25%</f>
        <v>600125</v>
      </c>
      <c r="H9" s="162"/>
      <c r="J9" s="31"/>
    </row>
    <row r="10" spans="2:12" ht="12" thickBot="1" x14ac:dyDescent="0.25">
      <c r="B10" s="46" t="s">
        <v>120</v>
      </c>
      <c r="C10" s="65" t="s">
        <v>115</v>
      </c>
      <c r="D10" s="211">
        <f>E10+G10</f>
        <v>5203461.6479104618</v>
      </c>
      <c r="E10" s="211">
        <f>'Capacitati 2017'!C22+'Capacitati 2017'!C23*'4. Capacitati de retea'!C24</f>
        <v>4585387.0265909703</v>
      </c>
      <c r="F10" s="212">
        <f>E10/D10</f>
        <v>0.88121856887949013</v>
      </c>
      <c r="G10" s="211">
        <f>'Capacitati 2017'!D22+'Capacitati 2017'!D23*'4. Capacitati de retea'!C24</f>
        <v>618074.62131949177</v>
      </c>
      <c r="H10" s="161">
        <f>G10/D10</f>
        <v>0.11878143112050996</v>
      </c>
      <c r="J10" s="244"/>
      <c r="L10" s="244">
        <f>J10*K10</f>
        <v>0</v>
      </c>
    </row>
    <row r="11" spans="2:12" x14ac:dyDescent="0.2">
      <c r="B11" s="149"/>
      <c r="C11" s="27"/>
      <c r="D11" s="148"/>
      <c r="E11" s="148"/>
      <c r="F11" s="160"/>
      <c r="G11" s="148"/>
      <c r="H11" s="160"/>
    </row>
    <row r="12" spans="2:12" ht="12" thickBot="1" x14ac:dyDescent="0.25">
      <c r="B12" s="59" t="s">
        <v>96</v>
      </c>
      <c r="C12" s="60" t="s">
        <v>111</v>
      </c>
      <c r="D12" s="144" t="s">
        <v>112</v>
      </c>
      <c r="E12" s="144" t="s">
        <v>83</v>
      </c>
      <c r="F12" s="144" t="s">
        <v>113</v>
      </c>
      <c r="G12" s="144" t="s">
        <v>84</v>
      </c>
      <c r="H12" s="144" t="s">
        <v>113</v>
      </c>
    </row>
    <row r="13" spans="2:12" x14ac:dyDescent="0.2">
      <c r="B13" s="150" t="s">
        <v>121</v>
      </c>
      <c r="C13" s="61" t="s">
        <v>115</v>
      </c>
      <c r="D13" s="208">
        <f>E13+G13</f>
        <v>3465607</v>
      </c>
      <c r="E13" s="208">
        <f>'Capacitati 2017'!C11</f>
        <v>2566300</v>
      </c>
      <c r="F13" s="210">
        <f>E13/D13</f>
        <v>0.74050519865639697</v>
      </c>
      <c r="G13" s="208">
        <f>'Capacitati 2017'!D11</f>
        <v>899307</v>
      </c>
      <c r="H13" s="217">
        <f>G13/D13</f>
        <v>0.25949480134360303</v>
      </c>
    </row>
    <row r="14" spans="2:12" x14ac:dyDescent="0.2">
      <c r="B14" s="150" t="s">
        <v>122</v>
      </c>
      <c r="C14" s="63" t="s">
        <v>115</v>
      </c>
      <c r="D14" s="209">
        <f>'Capacitati 2017'!E21</f>
        <v>1056000</v>
      </c>
      <c r="E14" s="209">
        <f>'Capacitati 2017'!C21</f>
        <v>733500</v>
      </c>
      <c r="F14" s="210">
        <f>E14/D14</f>
        <v>0.69460227272727271</v>
      </c>
      <c r="G14" s="209">
        <f>'Capacitati 2017'!D21</f>
        <v>322500</v>
      </c>
      <c r="H14" s="217">
        <f>G14/D14</f>
        <v>0.30539772727272729</v>
      </c>
    </row>
    <row r="15" spans="2:12" x14ac:dyDescent="0.2">
      <c r="B15" s="149"/>
      <c r="C15" s="22"/>
      <c r="D15" s="28"/>
    </row>
    <row r="16" spans="2:12" ht="12" thickBot="1" x14ac:dyDescent="0.25">
      <c r="B16" s="59" t="s">
        <v>123</v>
      </c>
      <c r="C16" s="60" t="s">
        <v>111</v>
      </c>
      <c r="D16" s="144" t="s">
        <v>112</v>
      </c>
      <c r="E16" s="144" t="s">
        <v>83</v>
      </c>
      <c r="F16" s="144" t="s">
        <v>113</v>
      </c>
      <c r="G16" s="144" t="s">
        <v>84</v>
      </c>
      <c r="H16" s="144" t="s">
        <v>113</v>
      </c>
    </row>
    <row r="17" spans="2:9" ht="12" thickBot="1" x14ac:dyDescent="0.25">
      <c r="B17" s="150" t="s">
        <v>124</v>
      </c>
      <c r="C17" s="163" t="s">
        <v>115</v>
      </c>
      <c r="D17" s="211">
        <f>E17+G17</f>
        <v>930555</v>
      </c>
      <c r="E17" s="214">
        <f>'Capacitati 2017'!C4</f>
        <v>623551</v>
      </c>
      <c r="F17" s="164">
        <f>E17/D17</f>
        <v>0.6700850567671981</v>
      </c>
      <c r="G17" s="214">
        <f>'Capacitati 2017'!D4</f>
        <v>307004</v>
      </c>
      <c r="H17" s="215">
        <f>G17/D17</f>
        <v>0.3299149432328019</v>
      </c>
    </row>
    <row r="18" spans="2:9" x14ac:dyDescent="0.2">
      <c r="B18" s="26"/>
      <c r="C18" s="27"/>
      <c r="D18" s="28"/>
      <c r="E18" s="38"/>
      <c r="F18" s="38"/>
      <c r="G18" s="31"/>
      <c r="H18" s="31"/>
    </row>
    <row r="19" spans="2:9" ht="13.5" thickBot="1" x14ac:dyDescent="0.25">
      <c r="B19" s="59" t="str">
        <f>IF($B$36="ROMANA","Perechi de fibra optica ","FiberCity (Fiber Optics Pairs)")</f>
        <v>FiberCity (Fiber Optics Pairs)</v>
      </c>
      <c r="C19" s="60" t="s">
        <v>111</v>
      </c>
      <c r="D19" s="144" t="s">
        <v>112</v>
      </c>
      <c r="F19"/>
      <c r="G19"/>
      <c r="H19"/>
      <c r="I19"/>
    </row>
    <row r="20" spans="2:9" ht="12.75" x14ac:dyDescent="0.2">
      <c r="B20" s="46" t="str">
        <f>IF($B$36="ROMANA","Lungimea de cablu de fibră optică instalată","Fiber Optics Cable Length")</f>
        <v>Fiber Optics Cable Length</v>
      </c>
      <c r="C20" s="61" t="s">
        <v>115</v>
      </c>
      <c r="D20" s="62">
        <f>'Capacitati 2017'!E13</f>
        <v>45300</v>
      </c>
      <c r="F20"/>
      <c r="G20"/>
      <c r="H20"/>
      <c r="I20"/>
    </row>
    <row r="21" spans="2:9" ht="12.75" x14ac:dyDescent="0.2">
      <c r="B21" s="46" t="str">
        <f>IF($B$36="ROMANA","Lungimea de perechi de fibră optică vandută","Sold Fiber Pairs Length")</f>
        <v>Sold Fiber Pairs Length</v>
      </c>
      <c r="C21" s="63" t="s">
        <v>115</v>
      </c>
      <c r="D21" s="64">
        <f>'Capacitati 2017'!E24/2</f>
        <v>36750</v>
      </c>
      <c r="F21"/>
      <c r="G21"/>
      <c r="H21"/>
      <c r="I21"/>
    </row>
    <row r="22" spans="2:9" ht="13.5" thickBot="1" x14ac:dyDescent="0.25">
      <c r="B22" s="46" t="str">
        <f>IF($B$78="ROMANA","Numar mediu de perechi de fibra vanduta per tubeta","Average Sold Fiber Optics Pairs per Microduct")</f>
        <v>Average Sold Fiber Optics Pairs per Microduct</v>
      </c>
      <c r="C22" s="65" t="s">
        <v>125</v>
      </c>
      <c r="D22" s="213">
        <f>D21/D20</f>
        <v>0.8112582781456954</v>
      </c>
      <c r="F22"/>
      <c r="G22"/>
      <c r="H22"/>
      <c r="I22"/>
    </row>
    <row r="24" spans="2:9" x14ac:dyDescent="0.2">
      <c r="B24" s="46" t="s">
        <v>126</v>
      </c>
      <c r="C24" s="416">
        <f>C27*D29+C28*D30</f>
        <v>1.2831346850500134</v>
      </c>
      <c r="D24" s="341"/>
    </row>
    <row r="25" spans="2:9" ht="12.75" x14ac:dyDescent="0.2">
      <c r="B25"/>
      <c r="C25" s="340"/>
      <c r="D25" s="340"/>
      <c r="E25"/>
      <c r="F25"/>
      <c r="G25"/>
      <c r="H25"/>
    </row>
    <row r="26" spans="2:9" ht="12.75" x14ac:dyDescent="0.2">
      <c r="B26" s="188"/>
      <c r="C26" s="188"/>
      <c r="D26" s="188"/>
      <c r="E26" s="188"/>
      <c r="F26" s="188"/>
      <c r="G26" s="188"/>
      <c r="H26" s="188"/>
    </row>
    <row r="27" spans="2:9" ht="15" x14ac:dyDescent="0.25">
      <c r="B27" s="189" t="s">
        <v>127</v>
      </c>
      <c r="C27" s="416">
        <v>1.27</v>
      </c>
      <c r="D27" s="189"/>
      <c r="E27" s="190"/>
      <c r="F27" s="190"/>
      <c r="G27" s="190"/>
      <c r="H27" s="191"/>
    </row>
    <row r="28" spans="2:9" ht="15" x14ac:dyDescent="0.25">
      <c r="B28" s="189" t="s">
        <v>128</v>
      </c>
      <c r="C28" s="416">
        <v>1.5</v>
      </c>
      <c r="D28" s="189"/>
      <c r="E28" s="188"/>
      <c r="F28" s="188"/>
      <c r="G28" s="188"/>
      <c r="H28" s="188"/>
    </row>
    <row r="29" spans="2:9" ht="15" x14ac:dyDescent="0.25">
      <c r="B29" s="189" t="s">
        <v>129</v>
      </c>
      <c r="C29" s="189">
        <v>523164</v>
      </c>
      <c r="D29" s="417">
        <f>C29/SUM(C29:C30)</f>
        <v>0.94289267369559338</v>
      </c>
      <c r="E29" s="188"/>
      <c r="F29" s="188"/>
      <c r="G29" s="188"/>
      <c r="H29" s="188"/>
    </row>
    <row r="30" spans="2:9" ht="15" x14ac:dyDescent="0.25">
      <c r="B30" s="189" t="s">
        <v>130</v>
      </c>
      <c r="C30" s="189">
        <v>31686</v>
      </c>
      <c r="D30" s="417">
        <f>C30/SUM(C29:C30)</f>
        <v>5.7107326304406597E-2</v>
      </c>
      <c r="E30" s="192"/>
      <c r="F30" s="192"/>
      <c r="G30" s="192"/>
      <c r="H30" s="192"/>
    </row>
    <row r="31" spans="2:9" ht="12.75" x14ac:dyDescent="0.2">
      <c r="B31" s="188"/>
      <c r="C31" s="188"/>
      <c r="D31" s="188"/>
      <c r="E31" s="188"/>
      <c r="F31" s="188"/>
      <c r="G31" s="188"/>
      <c r="H31" s="188"/>
    </row>
    <row r="32" spans="2:9" ht="12.75" x14ac:dyDescent="0.2">
      <c r="B32" s="188"/>
      <c r="C32" s="188"/>
      <c r="D32" s="188"/>
      <c r="E32" s="188"/>
      <c r="F32" s="188"/>
      <c r="G32" s="188"/>
      <c r="H32" s="188"/>
    </row>
    <row r="33" spans="2:8" ht="12.75" x14ac:dyDescent="0.2">
      <c r="B33" s="188"/>
      <c r="C33" s="188"/>
      <c r="D33" s="188"/>
      <c r="E33" s="188"/>
      <c r="F33" s="188"/>
      <c r="G33" s="188"/>
      <c r="H33" s="188"/>
    </row>
    <row r="34" spans="2:8" ht="15" x14ac:dyDescent="0.25">
      <c r="B34" s="189"/>
      <c r="C34" s="190"/>
      <c r="D34" s="190"/>
      <c r="E34" s="190"/>
      <c r="F34" s="190"/>
      <c r="G34" s="190"/>
      <c r="H34" s="191"/>
    </row>
    <row r="35" spans="2:8" ht="12.75" x14ac:dyDescent="0.2">
      <c r="B35" s="188"/>
      <c r="C35" s="188"/>
      <c r="D35" s="188"/>
      <c r="E35" s="188"/>
      <c r="F35" s="188"/>
      <c r="G35" s="188"/>
      <c r="H35" s="188"/>
    </row>
    <row r="36" spans="2:8" ht="15" hidden="1" customHeight="1" x14ac:dyDescent="0.2">
      <c r="B36" s="188"/>
      <c r="C36" s="188"/>
      <c r="D36" s="188"/>
      <c r="E36" s="188"/>
      <c r="F36" s="188"/>
      <c r="G36" s="188"/>
      <c r="H36" s="188"/>
    </row>
    <row r="37" spans="2:8" ht="12.75" x14ac:dyDescent="0.2">
      <c r="B37" s="192"/>
      <c r="C37" s="192"/>
      <c r="D37" s="192"/>
      <c r="E37" s="192"/>
      <c r="F37" s="192"/>
      <c r="G37" s="192"/>
      <c r="H37" s="192"/>
    </row>
    <row r="38" spans="2:8" ht="12.75" x14ac:dyDescent="0.2">
      <c r="B38" s="188"/>
      <c r="C38" s="188"/>
      <c r="D38" s="188"/>
      <c r="E38" s="188"/>
      <c r="F38" s="188"/>
      <c r="G38" s="188"/>
      <c r="H38" s="188"/>
    </row>
    <row r="39" spans="2:8" ht="12.75" x14ac:dyDescent="0.2">
      <c r="B39" s="188"/>
      <c r="C39" s="188"/>
      <c r="D39" s="188"/>
      <c r="E39" s="188"/>
      <c r="F39" s="188"/>
      <c r="G39" s="188"/>
      <c r="H39" s="188"/>
    </row>
    <row r="40" spans="2:8" ht="12.75" x14ac:dyDescent="0.2">
      <c r="B40" s="188"/>
      <c r="C40" s="188"/>
      <c r="D40" s="188"/>
      <c r="E40" s="188"/>
      <c r="F40" s="188"/>
      <c r="G40" s="188"/>
      <c r="H40" s="188"/>
    </row>
    <row r="41" spans="2:8" ht="15" x14ac:dyDescent="0.25">
      <c r="B41" s="189"/>
      <c r="C41" s="190"/>
      <c r="D41" s="190"/>
      <c r="E41" s="190"/>
      <c r="F41" s="190"/>
      <c r="G41" s="190"/>
      <c r="H41" s="191"/>
    </row>
    <row r="42" spans="2:8" ht="12.75" x14ac:dyDescent="0.2">
      <c r="B42" s="188"/>
      <c r="C42" s="188"/>
      <c r="D42" s="188"/>
      <c r="E42" s="188"/>
      <c r="F42" s="188"/>
      <c r="G42" s="188"/>
      <c r="H42" s="188"/>
    </row>
    <row r="43" spans="2:8" ht="12.75" x14ac:dyDescent="0.2">
      <c r="B43"/>
      <c r="C43"/>
      <c r="D43"/>
      <c r="E43"/>
      <c r="F43"/>
      <c r="G43"/>
      <c r="H43"/>
    </row>
    <row r="44" spans="2:8" ht="12.75" x14ac:dyDescent="0.2">
      <c r="B44" s="186"/>
      <c r="C44" s="186"/>
      <c r="D44" s="186"/>
      <c r="E44" s="186"/>
      <c r="F44" s="186"/>
      <c r="G44" s="186"/>
      <c r="H44" s="186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2"/>
  <sheetViews>
    <sheetView workbookViewId="0"/>
  </sheetViews>
  <sheetFormatPr defaultRowHeight="12.75" x14ac:dyDescent="0.2"/>
  <sheetData>
    <row r="1" spans="1:5" x14ac:dyDescent="0.2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x14ac:dyDescent="0.2">
      <c r="A2">
        <v>2</v>
      </c>
      <c r="B2">
        <v>46</v>
      </c>
      <c r="C2">
        <v>4</v>
      </c>
      <c r="D2">
        <v>49</v>
      </c>
      <c r="E2" t="s">
        <v>131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modificari</vt:lpstr>
      <vt:lpstr>Sumar</vt:lpstr>
      <vt:lpstr>Matrice de alocare</vt:lpstr>
      <vt:lpstr>Ipoteze de lucru</vt:lpstr>
      <vt:lpstr>1. CAPEX</vt:lpstr>
      <vt:lpstr>3. OPEX 2017</vt:lpstr>
      <vt:lpstr>4. Capacitati de retea</vt:lpstr>
      <vt:lpstr>OPEX</vt:lpstr>
      <vt:lpstr>CAPEX 2013</vt:lpstr>
      <vt:lpstr>Capacitati 2017</vt:lpstr>
      <vt:lpstr>Alte servicii</vt:lpstr>
      <vt:lpstr>Materiale</vt:lpstr>
      <vt:lpstr>constant</vt:lpstr>
      <vt:lpstr>max</vt:lpstr>
      <vt:lpstr>'1. CAPEX'!Print_Area</vt:lpstr>
      <vt:lpstr>RF</vt:lpstr>
      <vt:lpstr>SSP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Ciuciuc</dc:creator>
  <cp:keywords/>
  <dc:description/>
  <cp:lastModifiedBy>Anca Calin</cp:lastModifiedBy>
  <cp:revision/>
  <dcterms:created xsi:type="dcterms:W3CDTF">2013-06-06T08:54:54Z</dcterms:created>
  <dcterms:modified xsi:type="dcterms:W3CDTF">2018-12-13T14:43:16Z</dcterms:modified>
  <cp:category/>
  <cp:contentStatus/>
</cp:coreProperties>
</file>