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20" windowHeight="7815" firstSheet="4" activeTab="8"/>
  </bookViews>
  <sheets>
    <sheet name="NOTE" sheetId="1" r:id="rId1"/>
    <sheet name="Outputs" sheetId="2" r:id="rId2"/>
    <sheet name="Price Indices" sheetId="3" r:id="rId3"/>
    <sheet name="Labor Q&amp;P" sheetId="4" r:id="rId4"/>
    <sheet name="Materials" sheetId="5" r:id="rId5"/>
    <sheet name="Capital Input Data" sheetId="6" r:id="rId6"/>
    <sheet name="Capital stock" sheetId="7" r:id="rId7"/>
    <sheet name="Cost of Capital" sheetId="8" r:id="rId8"/>
    <sheet name="X&amp;Z Factor" sheetId="9" r:id="rId9"/>
    <sheet name="Charts 1999-2004" sheetId="10" r:id="rId10"/>
    <sheet name="Charts 2005-2010" sheetId="11" r:id="rId11"/>
  </sheets>
  <definedNames>
    <definedName name="_xlnm.Print_Area" localSheetId="6">'Capital stock'!$A$1:$O$60</definedName>
    <definedName name="_xlnm.Print_Area" localSheetId="9">'Charts 1999-2004'!$A$3:$Q$107</definedName>
    <definedName name="_xlnm.Print_Area" localSheetId="10">'Charts 2005-2010'!$A$3:$Q$108</definedName>
  </definedNames>
  <calcPr fullCalcOnLoad="1"/>
</workbook>
</file>

<file path=xl/sharedStrings.xml><?xml version="1.0" encoding="utf-8"?>
<sst xmlns="http://schemas.openxmlformats.org/spreadsheetml/2006/main" count="522" uniqueCount="307">
  <si>
    <t>Monthly rental charges</t>
  </si>
  <si>
    <t>Laspeyres Quantity Index</t>
  </si>
  <si>
    <t>Paasche Quantity Index</t>
  </si>
  <si>
    <t>Fischer Index</t>
  </si>
  <si>
    <t>Chained Fischer Output Index</t>
  </si>
  <si>
    <t>Output Growth Rate</t>
  </si>
  <si>
    <t>Domestic calls</t>
  </si>
  <si>
    <t>Overseas operators</t>
  </si>
  <si>
    <t>International calls</t>
  </si>
  <si>
    <t>Interconnect with mobile operators</t>
  </si>
  <si>
    <t>Prepaid cards and Payphones</t>
  </si>
  <si>
    <t>Leased circuits</t>
  </si>
  <si>
    <t>Other telephony</t>
  </si>
  <si>
    <t>Connection</t>
  </si>
  <si>
    <t>Calls to VAS suppliers</t>
  </si>
  <si>
    <t>Telegraph and telex</t>
  </si>
  <si>
    <t xml:space="preserve">Other </t>
  </si>
  <si>
    <t>Total Revenues Romtelcom</t>
  </si>
  <si>
    <t>Average 1998 -</t>
  </si>
  <si>
    <t>Revenue "Annual Reports" (EOY in ROL billion)</t>
  </si>
  <si>
    <t>Operating expenses "Annual Reports" (EOY in ROL billion)</t>
  </si>
  <si>
    <t>Wages and salaries</t>
  </si>
  <si>
    <t>Redundancy payments</t>
  </si>
  <si>
    <t>Social security contributions</t>
  </si>
  <si>
    <t>Adjusted Labor Costs</t>
  </si>
  <si>
    <t>Labor Price</t>
  </si>
  <si>
    <t>Labor Price Index</t>
  </si>
  <si>
    <t>Labor Price Change</t>
  </si>
  <si>
    <t>Labor Quantity Index</t>
  </si>
  <si>
    <t>Labor Input Growth Rate</t>
  </si>
  <si>
    <t>Total Benefits</t>
  </si>
  <si>
    <t>Percentage of Benefits</t>
  </si>
  <si>
    <t>Exceptional Spendings</t>
  </si>
  <si>
    <t>Number of employees</t>
  </si>
  <si>
    <t>Total fixed Assets</t>
  </si>
  <si>
    <t>Land and buildings</t>
  </si>
  <si>
    <t>Cable and related equipment</t>
  </si>
  <si>
    <t>Exchanges and related equipment</t>
  </si>
  <si>
    <t>Other fixed assets</t>
  </si>
  <si>
    <t>Assets in the course of construction</t>
  </si>
  <si>
    <t>Total current Liabilities</t>
  </si>
  <si>
    <t>Total current Assets</t>
  </si>
  <si>
    <t>Additions</t>
  </si>
  <si>
    <t>Total Additions</t>
  </si>
  <si>
    <t>Working Capital</t>
  </si>
  <si>
    <t>Asset Book Values (BOY in ROL billion)</t>
  </si>
  <si>
    <t>Working Capital (BOY in ROL billion)</t>
  </si>
  <si>
    <t>Licences</t>
  </si>
  <si>
    <t>Depreciation (BOY in ROL billion)</t>
  </si>
  <si>
    <t>Amortisation (BOY in ROL billion)</t>
  </si>
  <si>
    <t>Transfers</t>
  </si>
  <si>
    <t>Total Transfers</t>
  </si>
  <si>
    <t>Total Disposals</t>
  </si>
  <si>
    <t>Total Depreciation (EOY)</t>
  </si>
  <si>
    <t>Total Amortisation (EOY)</t>
  </si>
  <si>
    <t>Other intangible assets</t>
  </si>
  <si>
    <t>Total</t>
  </si>
  <si>
    <t>Depreciation Accruals Guv (Materials)</t>
  </si>
  <si>
    <t>Operating expenses - Operation, Maintenance and Telecommunication Services</t>
  </si>
  <si>
    <t>Others</t>
  </si>
  <si>
    <t>Personnel</t>
  </si>
  <si>
    <t>Depreciation</t>
  </si>
  <si>
    <t>Operation, Maintenance and Telecommunication Services</t>
  </si>
  <si>
    <t>Materials Quantity</t>
  </si>
  <si>
    <t xml:space="preserve">Materials Quantity Index </t>
  </si>
  <si>
    <t xml:space="preserve">Materials Quantity Growth Rate </t>
  </si>
  <si>
    <t>Depreciation &amp; Amortisation (charge for the period)</t>
  </si>
  <si>
    <t>Consumables</t>
  </si>
  <si>
    <t>Maintenance</t>
  </si>
  <si>
    <t>Spare parts</t>
  </si>
  <si>
    <t>Payments to VAS suppliers</t>
  </si>
  <si>
    <t>Management Fees</t>
  </si>
  <si>
    <t>Utilities</t>
  </si>
  <si>
    <t>Taxes</t>
  </si>
  <si>
    <t>Loss on disposals of property, plant and equipments</t>
  </si>
  <si>
    <t>Merchandisies</t>
  </si>
  <si>
    <t>Rentals</t>
  </si>
  <si>
    <t>Provisions</t>
  </si>
  <si>
    <t>Third party services</t>
  </si>
  <si>
    <t>TOTAL OPERATING EXPENSES</t>
  </si>
  <si>
    <t>Advertising</t>
  </si>
  <si>
    <t>Advertising / Marketing</t>
  </si>
  <si>
    <t>Total Labor Costs</t>
  </si>
  <si>
    <t>Realized Statement of Income</t>
  </si>
  <si>
    <t>Revenue</t>
  </si>
  <si>
    <t>Labor Costs</t>
  </si>
  <si>
    <t>other Operating Expenses</t>
  </si>
  <si>
    <t>EBITDA</t>
  </si>
  <si>
    <t>EBIT</t>
  </si>
  <si>
    <t>Interest Income</t>
  </si>
  <si>
    <t>Interest costs net</t>
  </si>
  <si>
    <t>Tax rate</t>
  </si>
  <si>
    <t>NET EARNINGS</t>
  </si>
  <si>
    <t>Total Equity</t>
  </si>
  <si>
    <t>Total Debt</t>
  </si>
  <si>
    <t>Debt Ratio</t>
  </si>
  <si>
    <t>Realized Rate of Return on Equity</t>
  </si>
  <si>
    <t>Net Earnings</t>
  </si>
  <si>
    <t>Realized return on Investment</t>
  </si>
  <si>
    <t>Labor Payment</t>
  </si>
  <si>
    <t>Materials Payment</t>
  </si>
  <si>
    <t>Total Payment</t>
  </si>
  <si>
    <t>Imputed Domestic Capital Rental Price</t>
  </si>
  <si>
    <t>Additions of:</t>
  </si>
  <si>
    <t>Transfers of:</t>
  </si>
  <si>
    <t>Disposals of:</t>
  </si>
  <si>
    <t>Charge for the period Depr.</t>
  </si>
  <si>
    <t>Disposals Depr.</t>
  </si>
  <si>
    <t>Depreciation Rate</t>
  </si>
  <si>
    <t>Materials Expense</t>
  </si>
  <si>
    <t>Property Income</t>
  </si>
  <si>
    <t>Total Factor Payments</t>
  </si>
  <si>
    <t>Weight Labor</t>
  </si>
  <si>
    <t>Weight Materials</t>
  </si>
  <si>
    <t>Weight Capital Expenses</t>
  </si>
  <si>
    <t>Materials Quantity Index</t>
  </si>
  <si>
    <t>Capital Quantity Index</t>
  </si>
  <si>
    <t>Laspeyres Factor Input Quantity Index</t>
  </si>
  <si>
    <t>Paasche Quantity Factor Input Quantity Index</t>
  </si>
  <si>
    <t>Fischer Factor Input Quantity Index</t>
  </si>
  <si>
    <t>Chained Fischer Factor Input Quantity Index</t>
  </si>
  <si>
    <t xml:space="preserve">TFP Growth Rate </t>
  </si>
  <si>
    <t>X-Factor</t>
  </si>
  <si>
    <t>Growth Rate TFP Romania</t>
  </si>
  <si>
    <t>Growth Rate RT Inputs</t>
  </si>
  <si>
    <t>Growth Rate RT Output</t>
  </si>
  <si>
    <t>Growth Rate TFP RT</t>
  </si>
  <si>
    <t>Input Price Index Labor</t>
  </si>
  <si>
    <t>Input Price Index Materials</t>
  </si>
  <si>
    <t>Input Price Index Capital</t>
  </si>
  <si>
    <t>Laspeyres Factor Input Price Index</t>
  </si>
  <si>
    <t>Paasche Quantity Factor Input Price Index</t>
  </si>
  <si>
    <t>Fischer Factor Input Price Index</t>
  </si>
  <si>
    <t>Chained Fischer Factor Input Price Index</t>
  </si>
  <si>
    <t>Growth Rate RT Input Prices</t>
  </si>
  <si>
    <t>Average 1998-</t>
  </si>
  <si>
    <t>CPI</t>
  </si>
  <si>
    <t>Growth CPI</t>
  </si>
  <si>
    <t>Laspeyres Materials Price Index</t>
  </si>
  <si>
    <t>Paasche Materials Price Index</t>
  </si>
  <si>
    <t>Fischer Materials Price Index</t>
  </si>
  <si>
    <t>Chained Fischer Materials Price Index</t>
  </si>
  <si>
    <t>Intangible Fixed Assets</t>
  </si>
  <si>
    <t>Total Depreciation (BOY)</t>
  </si>
  <si>
    <t>Capital Engeneering</t>
  </si>
  <si>
    <t>Charge Intagible Fixed Assets</t>
  </si>
  <si>
    <t>Disposal Intagible Fixed Assets</t>
  </si>
  <si>
    <t>Additions Intagible Fixed Assets</t>
  </si>
  <si>
    <t>Transfers Intagible Fixed Assets</t>
  </si>
  <si>
    <t>Disposals Intagible Fixed Assets</t>
  </si>
  <si>
    <t>Inventories</t>
  </si>
  <si>
    <t>Receivables &amp; prepayments</t>
  </si>
  <si>
    <t>Cash &amp; Equivalent</t>
  </si>
  <si>
    <t>Trade &amp; other payables</t>
  </si>
  <si>
    <t>Borrowings</t>
  </si>
  <si>
    <t>Total Intagible fixed assets</t>
  </si>
  <si>
    <t>Intangible fixed assets</t>
  </si>
  <si>
    <t>Weights</t>
  </si>
  <si>
    <t>Total fixed assets</t>
  </si>
  <si>
    <t>Price Indices</t>
  </si>
  <si>
    <t>Land and buildings =&gt;</t>
  </si>
  <si>
    <t xml:space="preserve">Cable and related equipment =&gt; </t>
  </si>
  <si>
    <t>Exchanges and related equipment =&gt;</t>
  </si>
  <si>
    <t>Other fixed assets =&gt;</t>
  </si>
  <si>
    <t>Assets in the course of construction =&gt;</t>
  </si>
  <si>
    <t>Capital Engeneering =&gt;</t>
  </si>
  <si>
    <t>Licences =&gt;</t>
  </si>
  <si>
    <t>Other intangible assets =&gt;</t>
  </si>
  <si>
    <t>Laspeyres Capital Input Price Index</t>
  </si>
  <si>
    <t>Paasche Capital Input Price Index</t>
  </si>
  <si>
    <t>Fischer Capital Input Price Index</t>
  </si>
  <si>
    <t>Chained Fischer Capital Input Goods Price Index</t>
  </si>
  <si>
    <t>Capital Input Calculation</t>
  </si>
  <si>
    <t>Depreciation Accrurals</t>
  </si>
  <si>
    <t>Average Rate 1998-current</t>
  </si>
  <si>
    <t>Variance</t>
  </si>
  <si>
    <t>Capital Stock Quantity</t>
  </si>
  <si>
    <t>Assets BOY</t>
  </si>
  <si>
    <t>Intangible Assets BoY</t>
  </si>
  <si>
    <t>Deductions</t>
  </si>
  <si>
    <t>Depreciation EoY</t>
  </si>
  <si>
    <t>Assets EoY (Net Book Value)</t>
  </si>
  <si>
    <t>Intangible Assets EoY (Net Book Value)</t>
  </si>
  <si>
    <t>Working Capital Additions</t>
  </si>
  <si>
    <t>Deflated Additions</t>
  </si>
  <si>
    <t>Capital Stock Index</t>
  </si>
  <si>
    <t>Capital Input Growth Rate</t>
  </si>
  <si>
    <t>Capital Stock BoY</t>
  </si>
  <si>
    <t>Capital Stock EoY</t>
  </si>
  <si>
    <t>Capital Retires</t>
  </si>
  <si>
    <t>Total Additions fixed assets</t>
  </si>
  <si>
    <t xml:space="preserve">Total including Staff related costs </t>
  </si>
  <si>
    <t>Benchmark Capital Stock = Net Value Assets BoY 1998</t>
  </si>
  <si>
    <t>Weights Revenue "Annual Reports"</t>
  </si>
  <si>
    <t>Subscriptions</t>
  </si>
  <si>
    <t>Connections</t>
  </si>
  <si>
    <t>F2M</t>
  </si>
  <si>
    <t>International Traffic</t>
  </si>
  <si>
    <t>Payphones</t>
  </si>
  <si>
    <t>Interconnection</t>
  </si>
  <si>
    <t>Leased Lines</t>
  </si>
  <si>
    <t>Quantites</t>
  </si>
  <si>
    <t>Growht Rates</t>
  </si>
  <si>
    <t>Disconnctions</t>
  </si>
  <si>
    <t>Domestic Traffic</t>
  </si>
  <si>
    <t>Other</t>
  </si>
  <si>
    <t>Weights for Quantities</t>
  </si>
  <si>
    <t>F2M =&gt; IC with Mob &amp; Calls to VAS</t>
  </si>
  <si>
    <t>International Traffic =&gt; Int. Calls &amp; Overseas Op.</t>
  </si>
  <si>
    <t>Internet =&gt; Other</t>
  </si>
  <si>
    <t>Telegraph &amp; Telex</t>
  </si>
  <si>
    <t>Quantity Indexes</t>
  </si>
  <si>
    <t>Local Traffic - Pulses</t>
  </si>
  <si>
    <t>Local Traffic Minutes</t>
  </si>
  <si>
    <t>National Traffic - Pulses</t>
  </si>
  <si>
    <t>National Traffic - Minutes</t>
  </si>
  <si>
    <t>Internet - Pulses</t>
  </si>
  <si>
    <t>Internet - Minutes</t>
  </si>
  <si>
    <t>Payphones - Minutes</t>
  </si>
  <si>
    <t>Payphones - Pulses</t>
  </si>
  <si>
    <t>Total Revenues Romtelcom Fixed Network</t>
  </si>
  <si>
    <t>RT Mobile revenues</t>
  </si>
  <si>
    <t>Own work capitalised</t>
  </si>
  <si>
    <t>Total Opex</t>
  </si>
  <si>
    <t>Interest Expense</t>
  </si>
  <si>
    <t>Realized WACC on Operations after Taxes</t>
  </si>
  <si>
    <t>Realized WACC incl financial result after Taxes</t>
  </si>
  <si>
    <t>Realized Rate of Return on Equity of Operations</t>
  </si>
  <si>
    <t>Realized WACC on Operations before Taxes</t>
  </si>
  <si>
    <t>Gain on net monetary position</t>
  </si>
  <si>
    <t>Realized Interest Rate RT (includes Devaluation of Exchange rate)</t>
  </si>
  <si>
    <t>Performance Analysis</t>
  </si>
  <si>
    <t>Exchange Rate</t>
  </si>
  <si>
    <t>EURO</t>
  </si>
  <si>
    <t>USD</t>
  </si>
  <si>
    <t>Required EBIT</t>
  </si>
  <si>
    <t>Capital rental Price in 2005 ANRC WACC Pretax</t>
  </si>
  <si>
    <t>Missing/Excess EBIT</t>
  </si>
  <si>
    <t>Excess/Missing Revenues</t>
  </si>
  <si>
    <t>FCC EBIT estimate on Capital Stock</t>
  </si>
  <si>
    <t>Necessary EBITDA</t>
  </si>
  <si>
    <t>Necessary Revenues</t>
  </si>
  <si>
    <t>Missing/Excess Revenues</t>
  </si>
  <si>
    <t>Investment Interest Rate</t>
  </si>
  <si>
    <t>Manufacturing of construction materials and other products of non metalic minerals</t>
  </si>
  <si>
    <t>Radio, TV-sets and communication equipment and apparatus</t>
  </si>
  <si>
    <t>Total manufacturing</t>
  </si>
  <si>
    <t>Calculate based on interconnection tarifis and exchange rate</t>
  </si>
  <si>
    <t>Based on exchange rate</t>
  </si>
  <si>
    <t>Motor &amp; Electronic Repairs</t>
  </si>
  <si>
    <t>Publishing&lt;houses</t>
  </si>
  <si>
    <t>Electric and thermal energy,gas and water</t>
  </si>
  <si>
    <t>Rent</t>
  </si>
  <si>
    <t>Exchange Rate / ROL</t>
  </si>
  <si>
    <t>Raw Data</t>
  </si>
  <si>
    <t>Rebased Data</t>
  </si>
  <si>
    <t>CPI Chained Index</t>
  </si>
  <si>
    <t>Romania Producers Input Price Index</t>
  </si>
  <si>
    <t>Growth Rate Romanian Input Price index tbd</t>
  </si>
  <si>
    <t>National telephone / Leased Lines</t>
  </si>
  <si>
    <t>Domestic Traffic (including F2M)</t>
  </si>
  <si>
    <t>IC with Mob &amp; Calls to VAS =&gt; Int. Calls &amp; Overseas Op.</t>
  </si>
  <si>
    <t>Merchandises</t>
  </si>
  <si>
    <t>EBITDA = Earnings before taxes, Interests &amp; Depreciation</t>
  </si>
  <si>
    <t>Price Index: Costs Of Capital Index</t>
  </si>
  <si>
    <t>Cost Coverage %</t>
  </si>
  <si>
    <t>Rebalancing need</t>
  </si>
  <si>
    <t>Rebalancing period</t>
  </si>
  <si>
    <t>Rebalancing Factor (per year)</t>
  </si>
  <si>
    <t>CPI - X + Rebalancing</t>
  </si>
  <si>
    <t>Rebalancing Model</t>
  </si>
  <si>
    <t>Calculation Z-Factor</t>
  </si>
  <si>
    <t>Calculation X-Factor</t>
  </si>
  <si>
    <t>Result</t>
  </si>
  <si>
    <t>FCC Competitive Cost of Capital Method</t>
  </si>
  <si>
    <t>Summary (Equals Balance Sheet Figures)</t>
  </si>
  <si>
    <t>Material Price Indexes</t>
  </si>
  <si>
    <t>Weights &amp; Quantity</t>
  </si>
  <si>
    <t>Input Data</t>
  </si>
  <si>
    <t>Price Indexes</t>
  </si>
  <si>
    <t>Labor Quantity</t>
  </si>
  <si>
    <t>Annual CPI - Average X</t>
  </si>
  <si>
    <t>Annual CPI-(X+Z)</t>
  </si>
  <si>
    <t>Interest Rates Romania (Average Long &amp; Short Term)</t>
  </si>
  <si>
    <t xml:space="preserve">Price Assignment in the Statistical Yearbooks </t>
  </si>
  <si>
    <t>Metallurgy</t>
  </si>
  <si>
    <t>Input Growth Rate</t>
  </si>
  <si>
    <t xml:space="preserve">Outputs </t>
  </si>
  <si>
    <t>Labor Quantity &amp; Price Index</t>
  </si>
  <si>
    <t xml:space="preserve">Materials </t>
  </si>
  <si>
    <t>Capital input data</t>
  </si>
  <si>
    <t>Capital Stock</t>
  </si>
  <si>
    <t>Cost of Capital</t>
  </si>
  <si>
    <t xml:space="preserve"> X&amp;Z Factor </t>
  </si>
  <si>
    <t>Graphical Analysis 1999 - 2004</t>
  </si>
  <si>
    <t>Graphical Analysis 2005-2010</t>
  </si>
  <si>
    <t xml:space="preserve">Growth Rate Differential (Z-Factor) </t>
  </si>
  <si>
    <t>FCC Method</t>
  </si>
  <si>
    <t>Capital Additions</t>
  </si>
  <si>
    <t xml:space="preserve">Method </t>
  </si>
  <si>
    <t>Telephone Retail Price Index</t>
  </si>
  <si>
    <t xml:space="preserve">Basket </t>
  </si>
  <si>
    <t>CPI - X - Z</t>
  </si>
  <si>
    <t>Current CPI - (Average X + Average Z)</t>
  </si>
  <si>
    <t>Total Costs of Basket (Seperated Accounts - RIO rates based version using 2007 inteconnection rates and 2005 volumes)</t>
  </si>
  <si>
    <t>Total Revenues of Basket (Calculated based on 2005 volumes and tarffis applicable starting with 15th of August 2006)</t>
  </si>
  <si>
    <t>Celulele marcate cu galben conţin cifre fictive.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</si>
</sst>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0.0000000"/>
    <numFmt numFmtId="182" formatCode="0.000000000"/>
    <numFmt numFmtId="183" formatCode="0.000%"/>
    <numFmt numFmtId="184" formatCode="#,##0.0"/>
    <numFmt numFmtId="185" formatCode="0.0"/>
    <numFmt numFmtId="186" formatCode="0.000000"/>
    <numFmt numFmtId="187" formatCode="0.0000"/>
    <numFmt numFmtId="188" formatCode="_-* #,##0.0000\ _€_-;\-* #,##0.0000\ _€_-;_-* &quot;-&quot;??\ _€_-;_-@_-"/>
    <numFmt numFmtId="189" formatCode="0.00000"/>
    <numFmt numFmtId="190" formatCode="_-* #,##0.000\ _€_-;\-* #,##0.000\ _€_-;_-* &quot;-&quot;??\ _€_-;_-@_-"/>
    <numFmt numFmtId="191" formatCode="_-* #,##0.000000\ _€_-;\-* #,##0.000000\ _€_-;_-* &quot;-&quot;??\ _€_-;_-@_-"/>
    <numFmt numFmtId="192" formatCode="0.00000%"/>
    <numFmt numFmtId="193" formatCode="0.0%"/>
    <numFmt numFmtId="194" formatCode="_-* #,##0.00000\ _€_-;\-* #,##0.00000\ _€_-;_-* &quot;-&quot;??\ _€_-;_-@_-"/>
    <numFmt numFmtId="195" formatCode="#,##0.0000"/>
    <numFmt numFmtId="196" formatCode="0.00000000"/>
    <numFmt numFmtId="197" formatCode="_-* #,##0.0\ _€_-;\-* #,##0.0\ _€_-;_-* &quot;-&quot;??\ _€_-;_-@_-"/>
    <numFmt numFmtId="198" formatCode="_-* #,##0.000000\ _€_-;\-* #,##0.000000\ _€_-;_-* &quot;-&quot;??????\ _€_-;_-@_-"/>
    <numFmt numFmtId="199" formatCode="#,##0.00000000"/>
    <numFmt numFmtId="200" formatCode="#,##0.00000"/>
    <numFmt numFmtId="201" formatCode="#,##0.00_ ;\-#,##0.00\ "/>
    <numFmt numFmtId="202" formatCode="#,##0.00000000\ _€"/>
    <numFmt numFmtId="203" formatCode="#,##0_ ;\-#,##0\ "/>
    <numFmt numFmtId="204" formatCode="_-* #,##0.0000\ _€_-;\-* #,##0.0000\ _€_-;_-* &quot;-&quot;????\ _€_-;_-@_-"/>
    <numFmt numFmtId="205" formatCode="_-* #,##0.00000000\ _€_-;\-* #,##0.00000000\ _€_-;_-* &quot;-&quot;????????\ _€_-;_-@_-"/>
    <numFmt numFmtId="206" formatCode="[$-407]dddd\,\ d\.\ mmmm\ yyyy"/>
    <numFmt numFmtId="207" formatCode="_-* #,##0.0\ _€_-;\-* #,##0.0\ _€_-;_-* &quot;-&quot;?\ _€_-;_-@_-"/>
    <numFmt numFmtId="208" formatCode="_-* #,##0\ _€_-;\-* #,##0\ _€_-;_-* &quot;-&quot;?\ _€_-;_-@_-"/>
    <numFmt numFmtId="209" formatCode="_-* #,##0.00\ _€_-;\-* #,##0.00\ _€_-;_-* &quot;-&quot;?\ _€_-;_-@_-"/>
  </numFmts>
  <fonts count="19">
    <font>
      <sz val="10"/>
      <name val="Arial"/>
      <family val="0"/>
    </font>
    <font>
      <sz val="10"/>
      <color indexed="4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sz val="8"/>
      <color indexed="55"/>
      <name val="Arial"/>
      <family val="0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b/>
      <sz val="14"/>
      <color indexed="41"/>
      <name val="Arial"/>
      <family val="2"/>
    </font>
    <font>
      <b/>
      <sz val="14"/>
      <color indexed="4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</cellStyleXfs>
  <cellXfs count="7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6" fillId="0" borderId="5" xfId="29" applyNumberFormat="1" applyFont="1" applyBorder="1" applyAlignment="1">
      <alignment/>
    </xf>
    <xf numFmtId="10" fontId="6" fillId="0" borderId="6" xfId="29" applyNumberFormat="1" applyFont="1" applyBorder="1" applyAlignment="1">
      <alignment/>
    </xf>
    <xf numFmtId="180" fontId="6" fillId="2" borderId="0" xfId="25" applyNumberFormat="1" applyFont="1" applyFill="1" applyBorder="1" applyAlignment="1">
      <alignment/>
    </xf>
    <xf numFmtId="180" fontId="6" fillId="0" borderId="0" xfId="25" applyNumberFormat="1" applyFont="1" applyBorder="1" applyAlignment="1">
      <alignment/>
    </xf>
    <xf numFmtId="171" fontId="6" fillId="2" borderId="7" xfId="25" applyFont="1" applyFill="1" applyBorder="1" applyAlignment="1">
      <alignment/>
    </xf>
    <xf numFmtId="180" fontId="6" fillId="2" borderId="7" xfId="25" applyNumberFormat="1" applyFont="1" applyFill="1" applyBorder="1" applyAlignment="1">
      <alignment/>
    </xf>
    <xf numFmtId="180" fontId="10" fillId="2" borderId="8" xfId="25" applyNumberFormat="1" applyFont="1" applyFill="1" applyBorder="1" applyAlignment="1">
      <alignment/>
    </xf>
    <xf numFmtId="180" fontId="6" fillId="2" borderId="8" xfId="25" applyNumberFormat="1" applyFont="1" applyFill="1" applyBorder="1" applyAlignment="1">
      <alignment/>
    </xf>
    <xf numFmtId="180" fontId="6" fillId="2" borderId="9" xfId="25" applyNumberFormat="1" applyFont="1" applyFill="1" applyBorder="1" applyAlignment="1">
      <alignment/>
    </xf>
    <xf numFmtId="0" fontId="6" fillId="0" borderId="8" xfId="25" applyNumberFormat="1" applyFont="1" applyFill="1" applyBorder="1" applyAlignment="1">
      <alignment/>
    </xf>
    <xf numFmtId="171" fontId="6" fillId="2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10" fontId="6" fillId="2" borderId="11" xfId="29" applyNumberFormat="1" applyFont="1" applyFill="1" applyBorder="1" applyAlignment="1">
      <alignment/>
    </xf>
    <xf numFmtId="10" fontId="6" fillId="0" borderId="11" xfId="29" applyNumberFormat="1" applyFont="1" applyFill="1" applyBorder="1" applyAlignment="1">
      <alignment/>
    </xf>
    <xf numFmtId="10" fontId="6" fillId="2" borderId="6" xfId="29" applyNumberFormat="1" applyFont="1" applyFill="1" applyBorder="1" applyAlignment="1">
      <alignment/>
    </xf>
    <xf numFmtId="10" fontId="6" fillId="0" borderId="6" xfId="29" applyNumberFormat="1" applyFont="1" applyFill="1" applyBorder="1" applyAlignment="1">
      <alignment/>
    </xf>
    <xf numFmtId="10" fontId="6" fillId="2" borderId="12" xfId="29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3" xfId="29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9" xfId="0" applyFont="1" applyBorder="1" applyAlignment="1">
      <alignment/>
    </xf>
    <xf numFmtId="10" fontId="6" fillId="0" borderId="15" xfId="0" applyNumberFormat="1" applyFont="1" applyBorder="1" applyAlignment="1">
      <alignment/>
    </xf>
    <xf numFmtId="0" fontId="8" fillId="3" borderId="15" xfId="30" applyFont="1" applyFill="1" applyBorder="1" applyAlignment="1">
      <alignment/>
      <protection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2" borderId="19" xfId="0" applyFont="1" applyFill="1" applyBorder="1" applyAlignment="1">
      <alignment/>
    </xf>
    <xf numFmtId="184" fontId="6" fillId="2" borderId="0" xfId="0" applyNumberFormat="1" applyFont="1" applyFill="1" applyBorder="1" applyAlignment="1">
      <alignment/>
    </xf>
    <xf numFmtId="185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0" xfId="0" applyFont="1" applyBorder="1" applyAlignment="1">
      <alignment/>
    </xf>
    <xf numFmtId="10" fontId="6" fillId="0" borderId="6" xfId="0" applyNumberFormat="1" applyFont="1" applyBorder="1" applyAlignment="1">
      <alignment wrapText="1"/>
    </xf>
    <xf numFmtId="10" fontId="6" fillId="0" borderId="6" xfId="0" applyNumberFormat="1" applyFont="1" applyBorder="1" applyAlignment="1">
      <alignment/>
    </xf>
    <xf numFmtId="10" fontId="6" fillId="2" borderId="0" xfId="0" applyNumberFormat="1" applyFont="1" applyFill="1" applyAlignment="1">
      <alignment horizontal="left"/>
    </xf>
    <xf numFmtId="10" fontId="6" fillId="2" borderId="0" xfId="0" applyNumberFormat="1" applyFont="1" applyFill="1" applyAlignment="1">
      <alignment/>
    </xf>
    <xf numFmtId="0" fontId="6" fillId="2" borderId="15" xfId="0" applyFont="1" applyFill="1" applyBorder="1" applyAlignment="1">
      <alignment/>
    </xf>
    <xf numFmtId="9" fontId="6" fillId="0" borderId="15" xfId="29" applyFont="1" applyBorder="1" applyAlignment="1">
      <alignment/>
    </xf>
    <xf numFmtId="0" fontId="6" fillId="2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9" fontId="6" fillId="0" borderId="15" xfId="0" applyNumberFormat="1" applyFont="1" applyFill="1" applyBorder="1" applyAlignment="1">
      <alignment/>
    </xf>
    <xf numFmtId="0" fontId="8" fillId="3" borderId="9" xfId="30" applyFont="1" applyFill="1" applyBorder="1" applyAlignment="1">
      <alignment/>
      <protection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2" borderId="0" xfId="0" applyFont="1" applyFill="1" applyAlignment="1">
      <alignment vertical="center"/>
    </xf>
    <xf numFmtId="10" fontId="6" fillId="0" borderId="23" xfId="29" applyNumberFormat="1" applyFont="1" applyBorder="1" applyAlignment="1">
      <alignment/>
    </xf>
    <xf numFmtId="9" fontId="6" fillId="0" borderId="6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0" fontId="10" fillId="0" borderId="9" xfId="0" applyFont="1" applyBorder="1" applyAlignment="1">
      <alignment/>
    </xf>
    <xf numFmtId="10" fontId="6" fillId="0" borderId="2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10" fontId="6" fillId="0" borderId="26" xfId="29" applyNumberFormat="1" applyFont="1" applyBorder="1" applyAlignment="1">
      <alignment/>
    </xf>
    <xf numFmtId="10" fontId="6" fillId="0" borderId="27" xfId="29" applyNumberFormat="1" applyFont="1" applyBorder="1" applyAlignment="1">
      <alignment/>
    </xf>
    <xf numFmtId="10" fontId="6" fillId="0" borderId="28" xfId="29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0" fontId="6" fillId="0" borderId="31" xfId="29" applyNumberFormat="1" applyFont="1" applyBorder="1" applyAlignment="1">
      <alignment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2" borderId="25" xfId="0" applyFont="1" applyFill="1" applyBorder="1" applyAlignment="1">
      <alignment/>
    </xf>
    <xf numFmtId="180" fontId="6" fillId="0" borderId="27" xfId="19" applyNumberFormat="1" applyFont="1" applyBorder="1" applyAlignment="1">
      <alignment/>
    </xf>
    <xf numFmtId="180" fontId="6" fillId="0" borderId="5" xfId="19" applyNumberFormat="1" applyFont="1" applyBorder="1" applyAlignment="1">
      <alignment/>
    </xf>
    <xf numFmtId="180" fontId="6" fillId="0" borderId="6" xfId="19" applyNumberFormat="1" applyFont="1" applyBorder="1" applyAlignment="1">
      <alignment/>
    </xf>
    <xf numFmtId="180" fontId="6" fillId="0" borderId="13" xfId="19" applyNumberFormat="1" applyFont="1" applyBorder="1" applyAlignment="1">
      <alignment/>
    </xf>
    <xf numFmtId="180" fontId="6" fillId="2" borderId="12" xfId="19" applyNumberFormat="1" applyFont="1" applyFill="1" applyBorder="1" applyAlignment="1">
      <alignment/>
    </xf>
    <xf numFmtId="180" fontId="6" fillId="2" borderId="15" xfId="19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3" borderId="9" xfId="30" applyFont="1" applyFill="1" applyBorder="1" applyAlignment="1">
      <alignment/>
      <protection/>
    </xf>
    <xf numFmtId="0" fontId="11" fillId="3" borderId="9" xfId="30" applyFont="1" applyFill="1" applyBorder="1" applyAlignment="1">
      <alignment horizontal="center"/>
      <protection/>
    </xf>
    <xf numFmtId="0" fontId="11" fillId="3" borderId="16" xfId="30" applyFont="1" applyFill="1" applyBorder="1" applyAlignment="1">
      <alignment horizontal="center"/>
      <protection/>
    </xf>
    <xf numFmtId="0" fontId="11" fillId="3" borderId="19" xfId="30" applyFont="1" applyFill="1" applyBorder="1" applyAlignment="1">
      <alignment horizontal="center"/>
      <protection/>
    </xf>
    <xf numFmtId="0" fontId="11" fillId="3" borderId="15" xfId="30" applyFont="1" applyFill="1" applyBorder="1" applyAlignment="1">
      <alignment horizontal="center"/>
      <protection/>
    </xf>
    <xf numFmtId="0" fontId="11" fillId="3" borderId="18" xfId="30" applyFont="1" applyFill="1" applyBorder="1" applyAlignment="1">
      <alignment horizontal="center"/>
      <protection/>
    </xf>
    <xf numFmtId="10" fontId="6" fillId="0" borderId="11" xfId="29" applyNumberFormat="1" applyFont="1" applyBorder="1" applyAlignment="1">
      <alignment/>
    </xf>
    <xf numFmtId="10" fontId="6" fillId="0" borderId="20" xfId="29" applyNumberFormat="1" applyFont="1" applyBorder="1" applyAlignment="1">
      <alignment/>
    </xf>
    <xf numFmtId="10" fontId="6" fillId="0" borderId="15" xfId="29" applyNumberFormat="1" applyFont="1" applyBorder="1" applyAlignment="1">
      <alignment/>
    </xf>
    <xf numFmtId="0" fontId="7" fillId="0" borderId="10" xfId="0" applyFont="1" applyBorder="1" applyAlignment="1">
      <alignment/>
    </xf>
    <xf numFmtId="10" fontId="6" fillId="0" borderId="12" xfId="29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1" fillId="3" borderId="7" xfId="30" applyFont="1" applyFill="1" applyBorder="1" applyAlignment="1">
      <alignment horizontal="center"/>
      <protection/>
    </xf>
    <xf numFmtId="0" fontId="11" fillId="3" borderId="11" xfId="30" applyFont="1" applyFill="1" applyBorder="1" applyAlignment="1">
      <alignment horizontal="center"/>
      <protection/>
    </xf>
    <xf numFmtId="0" fontId="11" fillId="3" borderId="32" xfId="30" applyFont="1" applyFill="1" applyBorder="1" applyAlignment="1">
      <alignment horizontal="center"/>
      <protection/>
    </xf>
    <xf numFmtId="4" fontId="7" fillId="2" borderId="25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3" xfId="0" applyFill="1" applyBorder="1" applyAlignment="1">
      <alignment/>
    </xf>
    <xf numFmtId="10" fontId="6" fillId="0" borderId="22" xfId="29" applyNumberFormat="1" applyFont="1" applyBorder="1" applyAlignment="1">
      <alignment/>
    </xf>
    <xf numFmtId="10" fontId="6" fillId="0" borderId="24" xfId="29" applyNumberFormat="1" applyFont="1" applyBorder="1" applyAlignment="1">
      <alignment/>
    </xf>
    <xf numFmtId="10" fontId="6" fillId="0" borderId="34" xfId="29" applyNumberFormat="1" applyFont="1" applyBorder="1" applyAlignment="1">
      <alignment/>
    </xf>
    <xf numFmtId="10" fontId="6" fillId="0" borderId="35" xfId="29" applyNumberFormat="1" applyFont="1" applyBorder="1" applyAlignment="1">
      <alignment/>
    </xf>
    <xf numFmtId="10" fontId="6" fillId="0" borderId="21" xfId="29" applyNumberFormat="1" applyFont="1" applyBorder="1" applyAlignment="1">
      <alignment/>
    </xf>
    <xf numFmtId="10" fontId="6" fillId="0" borderId="36" xfId="29" applyNumberFormat="1" applyFont="1" applyBorder="1" applyAlignment="1">
      <alignment/>
    </xf>
    <xf numFmtId="10" fontId="6" fillId="0" borderId="16" xfId="29" applyNumberFormat="1" applyFont="1" applyBorder="1" applyAlignment="1">
      <alignment/>
    </xf>
    <xf numFmtId="10" fontId="6" fillId="0" borderId="37" xfId="29" applyNumberFormat="1" applyFont="1" applyBorder="1" applyAlignment="1">
      <alignment/>
    </xf>
    <xf numFmtId="0" fontId="7" fillId="2" borderId="10" xfId="0" applyFont="1" applyFill="1" applyBorder="1" applyAlignment="1">
      <alignment/>
    </xf>
    <xf numFmtId="10" fontId="6" fillId="2" borderId="0" xfId="29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92" fontId="0" fillId="2" borderId="0" xfId="0" applyNumberForma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2" borderId="0" xfId="0" applyFont="1" applyFill="1" applyAlignment="1">
      <alignment horizontal="right"/>
    </xf>
    <xf numFmtId="10" fontId="6" fillId="0" borderId="22" xfId="29" applyNumberFormat="1" applyFont="1" applyBorder="1" applyAlignment="1">
      <alignment horizontal="right"/>
    </xf>
    <xf numFmtId="10" fontId="6" fillId="0" borderId="11" xfId="29" applyNumberFormat="1" applyFont="1" applyBorder="1" applyAlignment="1">
      <alignment horizontal="right"/>
    </xf>
    <xf numFmtId="10" fontId="6" fillId="0" borderId="24" xfId="29" applyNumberFormat="1" applyFont="1" applyBorder="1" applyAlignment="1">
      <alignment horizontal="right"/>
    </xf>
    <xf numFmtId="10" fontId="6" fillId="0" borderId="6" xfId="29" applyNumberFormat="1" applyFont="1" applyBorder="1" applyAlignment="1">
      <alignment horizontal="right"/>
    </xf>
    <xf numFmtId="10" fontId="6" fillId="0" borderId="39" xfId="29" applyNumberFormat="1" applyFont="1" applyBorder="1" applyAlignment="1">
      <alignment horizontal="right"/>
    </xf>
    <xf numFmtId="10" fontId="6" fillId="0" borderId="20" xfId="29" applyNumberFormat="1" applyFont="1" applyBorder="1" applyAlignment="1">
      <alignment horizontal="right"/>
    </xf>
    <xf numFmtId="10" fontId="6" fillId="0" borderId="34" xfId="29" applyNumberFormat="1" applyFont="1" applyBorder="1" applyAlignment="1">
      <alignment horizontal="right"/>
    </xf>
    <xf numFmtId="10" fontId="6" fillId="0" borderId="15" xfId="29" applyNumberFormat="1" applyFont="1" applyBorder="1" applyAlignment="1">
      <alignment horizontal="right"/>
    </xf>
    <xf numFmtId="10" fontId="6" fillId="0" borderId="35" xfId="29" applyNumberFormat="1" applyFont="1" applyBorder="1" applyAlignment="1">
      <alignment horizontal="right"/>
    </xf>
    <xf numFmtId="10" fontId="6" fillId="0" borderId="12" xfId="29" applyNumberFormat="1" applyFont="1" applyBorder="1" applyAlignment="1">
      <alignment horizontal="right"/>
    </xf>
    <xf numFmtId="3" fontId="9" fillId="2" borderId="0" xfId="0" applyNumberFormat="1" applyFont="1" applyFill="1" applyAlignment="1">
      <alignment vertical="center"/>
    </xf>
    <xf numFmtId="10" fontId="6" fillId="0" borderId="23" xfId="29" applyNumberFormat="1" applyFont="1" applyFill="1" applyBorder="1" applyAlignment="1">
      <alignment/>
    </xf>
    <xf numFmtId="10" fontId="6" fillId="0" borderId="27" xfId="29" applyNumberFormat="1" applyFont="1" applyFill="1" applyBorder="1" applyAlignment="1">
      <alignment/>
    </xf>
    <xf numFmtId="10" fontId="6" fillId="0" borderId="0" xfId="29" applyNumberFormat="1" applyFont="1" applyFill="1" applyAlignment="1">
      <alignment vertical="center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6" fillId="2" borderId="33" xfId="0" applyFont="1" applyFill="1" applyBorder="1" applyAlignment="1">
      <alignment/>
    </xf>
    <xf numFmtId="10" fontId="6" fillId="0" borderId="28" xfId="29" applyNumberFormat="1" applyFont="1" applyFill="1" applyBorder="1" applyAlignment="1">
      <alignment/>
    </xf>
    <xf numFmtId="0" fontId="6" fillId="0" borderId="4" xfId="0" applyFont="1" applyBorder="1" applyAlignment="1">
      <alignment horizontal="left" indent="1"/>
    </xf>
    <xf numFmtId="180" fontId="6" fillId="0" borderId="8" xfId="21" applyNumberFormat="1" applyFont="1" applyBorder="1" applyAlignment="1">
      <alignment/>
    </xf>
    <xf numFmtId="0" fontId="10" fillId="0" borderId="2" xfId="0" applyFont="1" applyBorder="1" applyAlignment="1">
      <alignment horizontal="left" indent="1"/>
    </xf>
    <xf numFmtId="10" fontId="12" fillId="3" borderId="40" xfId="0" applyNumberFormat="1" applyFont="1" applyFill="1" applyBorder="1" applyAlignment="1">
      <alignment horizontal="right"/>
    </xf>
    <xf numFmtId="10" fontId="12" fillId="3" borderId="13" xfId="0" applyNumberFormat="1" applyFont="1" applyFill="1" applyBorder="1" applyAlignment="1">
      <alignment horizontal="right"/>
    </xf>
    <xf numFmtId="10" fontId="12" fillId="3" borderId="4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8" xfId="0" applyFont="1" applyBorder="1" applyAlignment="1">
      <alignment/>
    </xf>
    <xf numFmtId="188" fontId="6" fillId="2" borderId="0" xfId="26" applyNumberFormat="1" applyFont="1" applyFill="1" applyBorder="1" applyAlignment="1">
      <alignment/>
    </xf>
    <xf numFmtId="10" fontId="9" fillId="2" borderId="0" xfId="0" applyNumberFormat="1" applyFont="1" applyFill="1" applyAlignment="1">
      <alignment/>
    </xf>
    <xf numFmtId="10" fontId="6" fillId="0" borderId="5" xfId="29" applyNumberFormat="1" applyFont="1" applyBorder="1" applyAlignment="1">
      <alignment horizontal="right"/>
    </xf>
    <xf numFmtId="10" fontId="6" fillId="0" borderId="26" xfId="29" applyNumberFormat="1" applyFont="1" applyBorder="1" applyAlignment="1">
      <alignment horizontal="right"/>
    </xf>
    <xf numFmtId="10" fontId="6" fillId="0" borderId="23" xfId="29" applyNumberFormat="1" applyFont="1" applyBorder="1" applyAlignment="1">
      <alignment horizontal="right"/>
    </xf>
    <xf numFmtId="10" fontId="6" fillId="0" borderId="13" xfId="29" applyNumberFormat="1" applyFont="1" applyBorder="1" applyAlignment="1">
      <alignment horizontal="right"/>
    </xf>
    <xf numFmtId="10" fontId="6" fillId="0" borderId="41" xfId="29" applyNumberFormat="1" applyFont="1" applyBorder="1" applyAlignment="1">
      <alignment horizontal="right"/>
    </xf>
    <xf numFmtId="10" fontId="7" fillId="0" borderId="15" xfId="29" applyNumberFormat="1" applyFont="1" applyBorder="1" applyAlignment="1">
      <alignment horizontal="right"/>
    </xf>
    <xf numFmtId="0" fontId="9" fillId="2" borderId="0" xfId="0" applyFont="1" applyFill="1" applyBorder="1" applyAlignment="1">
      <alignment/>
    </xf>
    <xf numFmtId="10" fontId="7" fillId="2" borderId="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right"/>
    </xf>
    <xf numFmtId="10" fontId="6" fillId="0" borderId="27" xfId="29" applyNumberFormat="1" applyFont="1" applyBorder="1" applyAlignment="1">
      <alignment horizontal="right"/>
    </xf>
    <xf numFmtId="10" fontId="6" fillId="0" borderId="28" xfId="29" applyNumberFormat="1" applyFont="1" applyBorder="1" applyAlignment="1">
      <alignment horizontal="right"/>
    </xf>
    <xf numFmtId="10" fontId="6" fillId="0" borderId="31" xfId="29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0" fontId="6" fillId="0" borderId="37" xfId="29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0" fontId="7" fillId="0" borderId="34" xfId="29" applyNumberFormat="1" applyFont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10" fontId="6" fillId="0" borderId="29" xfId="29" applyNumberFormat="1" applyFont="1" applyBorder="1" applyAlignment="1">
      <alignment horizontal="right"/>
    </xf>
    <xf numFmtId="10" fontId="6" fillId="0" borderId="42" xfId="29" applyNumberFormat="1" applyFont="1" applyBorder="1" applyAlignment="1">
      <alignment horizontal="right"/>
    </xf>
    <xf numFmtId="10" fontId="6" fillId="0" borderId="12" xfId="29" applyNumberFormat="1" applyFont="1" applyBorder="1" applyAlignment="1">
      <alignment horizontal="right"/>
    </xf>
    <xf numFmtId="0" fontId="11" fillId="3" borderId="34" xfId="0" applyFont="1" applyFill="1" applyBorder="1" applyAlignment="1">
      <alignment horizontal="center"/>
    </xf>
    <xf numFmtId="0" fontId="11" fillId="3" borderId="15" xfId="30" applyFont="1" applyFill="1" applyBorder="1" applyAlignment="1">
      <alignment/>
      <protection/>
    </xf>
    <xf numFmtId="0" fontId="7" fillId="0" borderId="8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" xfId="0" applyFont="1" applyBorder="1" applyAlignment="1">
      <alignment/>
    </xf>
    <xf numFmtId="0" fontId="11" fillId="3" borderId="10" xfId="30" applyFont="1" applyFill="1" applyBorder="1" applyAlignment="1">
      <alignment/>
      <protection/>
    </xf>
    <xf numFmtId="0" fontId="11" fillId="3" borderId="11" xfId="30" applyFont="1" applyFill="1" applyBorder="1" applyAlignment="1">
      <alignment/>
      <protection/>
    </xf>
    <xf numFmtId="0" fontId="6" fillId="0" borderId="27" xfId="0" applyFont="1" applyBorder="1" applyAlignment="1">
      <alignment horizontal="right"/>
    </xf>
    <xf numFmtId="10" fontId="6" fillId="0" borderId="28" xfId="0" applyNumberFormat="1" applyFont="1" applyBorder="1" applyAlignment="1">
      <alignment horizontal="right"/>
    </xf>
    <xf numFmtId="10" fontId="6" fillId="0" borderId="27" xfId="0" applyNumberFormat="1" applyFont="1" applyBorder="1" applyAlignment="1">
      <alignment horizontal="right"/>
    </xf>
    <xf numFmtId="10" fontId="6" fillId="0" borderId="31" xfId="0" applyNumberFormat="1" applyFont="1" applyBorder="1" applyAlignment="1">
      <alignment horizontal="right"/>
    </xf>
    <xf numFmtId="10" fontId="6" fillId="0" borderId="43" xfId="0" applyNumberFormat="1" applyFont="1" applyBorder="1" applyAlignment="1">
      <alignment horizontal="right"/>
    </xf>
    <xf numFmtId="10" fontId="7" fillId="0" borderId="15" xfId="29" applyNumberFormat="1" applyFont="1" applyBorder="1" applyAlignment="1">
      <alignment horizontal="right"/>
    </xf>
    <xf numFmtId="10" fontId="7" fillId="0" borderId="16" xfId="29" applyNumberFormat="1" applyFont="1" applyBorder="1" applyAlignment="1">
      <alignment horizontal="right"/>
    </xf>
    <xf numFmtId="0" fontId="12" fillId="3" borderId="9" xfId="30" applyFont="1" applyFill="1" applyBorder="1" applyAlignment="1">
      <alignment/>
      <protection/>
    </xf>
    <xf numFmtId="10" fontId="6" fillId="0" borderId="5" xfId="29" applyNumberFormat="1" applyFont="1" applyBorder="1" applyAlignment="1">
      <alignment horizontal="right"/>
    </xf>
    <xf numFmtId="10" fontId="6" fillId="0" borderId="30" xfId="29" applyNumberFormat="1" applyFont="1" applyBorder="1" applyAlignment="1">
      <alignment horizontal="right"/>
    </xf>
    <xf numFmtId="10" fontId="6" fillId="0" borderId="27" xfId="29" applyNumberFormat="1" applyFont="1" applyBorder="1" applyAlignment="1">
      <alignment horizontal="right"/>
    </xf>
    <xf numFmtId="10" fontId="6" fillId="0" borderId="31" xfId="29" applyNumberFormat="1" applyFont="1" applyBorder="1" applyAlignment="1">
      <alignment horizontal="right"/>
    </xf>
    <xf numFmtId="10" fontId="6" fillId="0" borderId="35" xfId="29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10" fontId="7" fillId="0" borderId="34" xfId="29" applyNumberFormat="1" applyFont="1" applyBorder="1" applyAlignment="1">
      <alignment horizontal="right"/>
    </xf>
    <xf numFmtId="10" fontId="7" fillId="0" borderId="13" xfId="29" applyNumberFormat="1" applyFont="1" applyBorder="1" applyAlignment="1">
      <alignment horizontal="right"/>
    </xf>
    <xf numFmtId="10" fontId="7" fillId="0" borderId="44" xfId="29" applyNumberFormat="1" applyFont="1" applyBorder="1" applyAlignment="1">
      <alignment horizontal="right"/>
    </xf>
    <xf numFmtId="0" fontId="5" fillId="2" borderId="45" xfId="0" applyFont="1" applyFill="1" applyBorder="1" applyAlignment="1">
      <alignment vertical="center"/>
    </xf>
    <xf numFmtId="0" fontId="12" fillId="3" borderId="9" xfId="0" applyFont="1" applyFill="1" applyBorder="1" applyAlignment="1">
      <alignment/>
    </xf>
    <xf numFmtId="0" fontId="12" fillId="3" borderId="15" xfId="0" applyFont="1" applyFill="1" applyBorder="1" applyAlignment="1">
      <alignment horizontal="center"/>
    </xf>
    <xf numFmtId="180" fontId="6" fillId="2" borderId="0" xfId="15" applyNumberFormat="1" applyFont="1" applyFill="1" applyAlignment="1">
      <alignment/>
    </xf>
    <xf numFmtId="0" fontId="11" fillId="3" borderId="1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10" fontId="7" fillId="4" borderId="44" xfId="29" applyNumberFormat="1" applyFont="1" applyFill="1" applyBorder="1" applyAlignment="1">
      <alignment/>
    </xf>
    <xf numFmtId="10" fontId="7" fillId="4" borderId="13" xfId="29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10" fontId="7" fillId="4" borderId="13" xfId="0" applyNumberFormat="1" applyFont="1" applyFill="1" applyBorder="1" applyAlignment="1">
      <alignment/>
    </xf>
    <xf numFmtId="10" fontId="7" fillId="4" borderId="41" xfId="0" applyNumberFormat="1" applyFont="1" applyFill="1" applyBorder="1" applyAlignment="1">
      <alignment/>
    </xf>
    <xf numFmtId="10" fontId="7" fillId="4" borderId="44" xfId="0" applyNumberFormat="1" applyFont="1" applyFill="1" applyBorder="1" applyAlignment="1">
      <alignment/>
    </xf>
    <xf numFmtId="0" fontId="7" fillId="4" borderId="13" xfId="0" applyFont="1" applyFill="1" applyBorder="1" applyAlignment="1">
      <alignment/>
    </xf>
    <xf numFmtId="10" fontId="7" fillId="4" borderId="41" xfId="29" applyNumberFormat="1" applyFont="1" applyFill="1" applyBorder="1" applyAlignment="1">
      <alignment/>
    </xf>
    <xf numFmtId="10" fontId="6" fillId="0" borderId="30" xfId="29" applyNumberFormat="1" applyFont="1" applyBorder="1" applyAlignment="1">
      <alignment/>
    </xf>
    <xf numFmtId="10" fontId="6" fillId="2" borderId="22" xfId="29" applyNumberFormat="1" applyFont="1" applyFill="1" applyBorder="1" applyAlignment="1">
      <alignment/>
    </xf>
    <xf numFmtId="10" fontId="6" fillId="2" borderId="24" xfId="29" applyNumberFormat="1" applyFont="1" applyFill="1" applyBorder="1" applyAlignment="1">
      <alignment/>
    </xf>
    <xf numFmtId="10" fontId="6" fillId="2" borderId="35" xfId="29" applyNumberFormat="1" applyFont="1" applyFill="1" applyBorder="1" applyAlignment="1">
      <alignment/>
    </xf>
    <xf numFmtId="10" fontId="6" fillId="0" borderId="44" xfId="29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6" fillId="2" borderId="21" xfId="29" applyNumberFormat="1" applyFont="1" applyFill="1" applyBorder="1" applyAlignment="1">
      <alignment/>
    </xf>
    <xf numFmtId="10" fontId="6" fillId="2" borderId="23" xfId="29" applyNumberFormat="1" applyFont="1" applyFill="1" applyBorder="1" applyAlignment="1">
      <alignment/>
    </xf>
    <xf numFmtId="10" fontId="6" fillId="2" borderId="37" xfId="29" applyNumberFormat="1" applyFont="1" applyFill="1" applyBorder="1" applyAlignment="1">
      <alignment/>
    </xf>
    <xf numFmtId="10" fontId="6" fillId="0" borderId="41" xfId="29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0" fontId="7" fillId="4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10" fontId="7" fillId="4" borderId="15" xfId="29" applyNumberFormat="1" applyFont="1" applyFill="1" applyBorder="1" applyAlignment="1">
      <alignment horizontal="right"/>
    </xf>
    <xf numFmtId="10" fontId="7" fillId="4" borderId="16" xfId="29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0" fontId="7" fillId="0" borderId="20" xfId="29" applyNumberFormat="1" applyFont="1" applyFill="1" applyBorder="1" applyAlignment="1">
      <alignment horizontal="right"/>
    </xf>
    <xf numFmtId="10" fontId="7" fillId="0" borderId="39" xfId="29" applyNumberFormat="1" applyFont="1" applyFill="1" applyBorder="1" applyAlignment="1">
      <alignment horizontal="right"/>
    </xf>
    <xf numFmtId="0" fontId="15" fillId="2" borderId="0" xfId="0" applyFont="1" applyFill="1" applyAlignment="1">
      <alignment/>
    </xf>
    <xf numFmtId="180" fontId="10" fillId="2" borderId="2" xfId="25" applyNumberFormat="1" applyFont="1" applyFill="1" applyBorder="1" applyAlignment="1">
      <alignment/>
    </xf>
    <xf numFmtId="180" fontId="6" fillId="2" borderId="4" xfId="25" applyNumberFormat="1" applyFont="1" applyFill="1" applyBorder="1" applyAlignment="1">
      <alignment/>
    </xf>
    <xf numFmtId="180" fontId="6" fillId="2" borderId="2" xfId="25" applyNumberFormat="1" applyFont="1" applyFill="1" applyBorder="1" applyAlignment="1">
      <alignment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0" fontId="10" fillId="0" borderId="31" xfId="29" applyNumberFormat="1" applyFont="1" applyFill="1" applyBorder="1" applyAlignment="1">
      <alignment/>
    </xf>
    <xf numFmtId="10" fontId="10" fillId="0" borderId="27" xfId="29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/>
    </xf>
    <xf numFmtId="10" fontId="10" fillId="0" borderId="28" xfId="29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10" fontId="10" fillId="0" borderId="12" xfId="29" applyNumberFormat="1" applyFont="1" applyFill="1" applyBorder="1" applyAlignment="1">
      <alignment/>
    </xf>
    <xf numFmtId="10" fontId="10" fillId="0" borderId="37" xfId="29" applyNumberFormat="1" applyFont="1" applyFill="1" applyBorder="1" applyAlignment="1">
      <alignment/>
    </xf>
    <xf numFmtId="10" fontId="10" fillId="0" borderId="35" xfId="29" applyNumberFormat="1" applyFont="1" applyFill="1" applyBorder="1" applyAlignment="1">
      <alignment/>
    </xf>
    <xf numFmtId="10" fontId="12" fillId="3" borderId="46" xfId="0" applyNumberFormat="1" applyFont="1" applyFill="1" applyBorder="1" applyAlignment="1">
      <alignment horizontal="right"/>
    </xf>
    <xf numFmtId="10" fontId="6" fillId="0" borderId="27" xfId="29" applyNumberFormat="1" applyFont="1" applyFill="1" applyBorder="1" applyAlignment="1">
      <alignment horizontal="right"/>
    </xf>
    <xf numFmtId="10" fontId="6" fillId="0" borderId="28" xfId="29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10" fontId="10" fillId="0" borderId="27" xfId="29" applyNumberFormat="1" applyFont="1" applyFill="1" applyBorder="1" applyAlignment="1">
      <alignment horizontal="right"/>
    </xf>
    <xf numFmtId="10" fontId="10" fillId="0" borderId="26" xfId="29" applyNumberFormat="1" applyFont="1" applyFill="1" applyBorder="1" applyAlignment="1">
      <alignment horizontal="right"/>
    </xf>
    <xf numFmtId="10" fontId="7" fillId="4" borderId="12" xfId="29" applyNumberFormat="1" applyFont="1" applyFill="1" applyBorder="1" applyAlignment="1">
      <alignment horizontal="right"/>
    </xf>
    <xf numFmtId="10" fontId="7" fillId="4" borderId="47" xfId="29" applyNumberFormat="1" applyFont="1" applyFill="1" applyBorder="1" applyAlignment="1">
      <alignment horizontal="right"/>
    </xf>
    <xf numFmtId="10" fontId="7" fillId="4" borderId="35" xfId="29" applyNumberFormat="1" applyFont="1" applyFill="1" applyBorder="1" applyAlignment="1">
      <alignment horizontal="right"/>
    </xf>
    <xf numFmtId="10" fontId="7" fillId="4" borderId="27" xfId="29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/>
    </xf>
    <xf numFmtId="4" fontId="6" fillId="0" borderId="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9" fontId="6" fillId="0" borderId="11" xfId="29" applyNumberFormat="1" applyFont="1" applyBorder="1" applyAlignment="1">
      <alignment/>
    </xf>
    <xf numFmtId="9" fontId="6" fillId="0" borderId="22" xfId="29" applyNumberFormat="1" applyFont="1" applyBorder="1" applyAlignment="1">
      <alignment/>
    </xf>
    <xf numFmtId="9" fontId="6" fillId="0" borderId="21" xfId="29" applyNumberFormat="1" applyFont="1" applyBorder="1" applyAlignment="1">
      <alignment/>
    </xf>
    <xf numFmtId="9" fontId="6" fillId="0" borderId="30" xfId="0" applyNumberFormat="1" applyFont="1" applyBorder="1" applyAlignment="1">
      <alignment/>
    </xf>
    <xf numFmtId="9" fontId="6" fillId="0" borderId="5" xfId="0" applyNumberFormat="1" applyFont="1" applyBorder="1" applyAlignment="1">
      <alignment/>
    </xf>
    <xf numFmtId="9" fontId="6" fillId="0" borderId="29" xfId="29" applyNumberFormat="1" applyFont="1" applyBorder="1" applyAlignment="1">
      <alignment/>
    </xf>
    <xf numFmtId="9" fontId="6" fillId="0" borderId="43" xfId="29" applyNumberFormat="1" applyFont="1" applyBorder="1" applyAlignment="1">
      <alignment/>
    </xf>
    <xf numFmtId="9" fontId="6" fillId="0" borderId="42" xfId="29" applyNumberFormat="1" applyFont="1" applyBorder="1" applyAlignment="1">
      <alignment/>
    </xf>
    <xf numFmtId="9" fontId="6" fillId="0" borderId="31" xfId="0" applyNumberFormat="1" applyFont="1" applyBorder="1" applyAlignment="1">
      <alignment/>
    </xf>
    <xf numFmtId="9" fontId="6" fillId="0" borderId="27" xfId="0" applyNumberFormat="1" applyFont="1" applyBorder="1" applyAlignment="1">
      <alignment/>
    </xf>
    <xf numFmtId="9" fontId="6" fillId="0" borderId="6" xfId="29" applyNumberFormat="1" applyFont="1" applyBorder="1" applyAlignment="1">
      <alignment/>
    </xf>
    <xf numFmtId="9" fontId="6" fillId="0" borderId="24" xfId="29" applyNumberFormat="1" applyFont="1" applyBorder="1" applyAlignment="1">
      <alignment/>
    </xf>
    <xf numFmtId="9" fontId="6" fillId="0" borderId="23" xfId="29" applyNumberFormat="1" applyFont="1" applyBorder="1" applyAlignment="1">
      <alignment/>
    </xf>
    <xf numFmtId="9" fontId="6" fillId="0" borderId="27" xfId="29" applyNumberFormat="1" applyFont="1" applyBorder="1" applyAlignment="1">
      <alignment/>
    </xf>
    <xf numFmtId="9" fontId="6" fillId="0" borderId="31" xfId="29" applyNumberFormat="1" applyFont="1" applyBorder="1" applyAlignment="1">
      <alignment/>
    </xf>
    <xf numFmtId="9" fontId="6" fillId="0" borderId="24" xfId="0" applyNumberFormat="1" applyFont="1" applyBorder="1" applyAlignment="1">
      <alignment/>
    </xf>
    <xf numFmtId="9" fontId="6" fillId="0" borderId="12" xfId="29" applyNumberFormat="1" applyFont="1" applyBorder="1" applyAlignment="1">
      <alignment/>
    </xf>
    <xf numFmtId="9" fontId="6" fillId="0" borderId="44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10" fontId="6" fillId="0" borderId="30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171" fontId="6" fillId="0" borderId="43" xfId="0" applyNumberFormat="1" applyFont="1" applyBorder="1" applyAlignment="1">
      <alignment/>
    </xf>
    <xf numFmtId="171" fontId="6" fillId="0" borderId="29" xfId="0" applyNumberFormat="1" applyFont="1" applyBorder="1" applyAlignment="1">
      <alignment/>
    </xf>
    <xf numFmtId="169" fontId="6" fillId="2" borderId="11" xfId="19" applyNumberFormat="1" applyFont="1" applyFill="1" applyBorder="1" applyAlignment="1">
      <alignment/>
    </xf>
    <xf numFmtId="169" fontId="6" fillId="2" borderId="21" xfId="19" applyNumberFormat="1" applyFont="1" applyFill="1" applyBorder="1" applyAlignment="1">
      <alignment/>
    </xf>
    <xf numFmtId="169" fontId="6" fillId="2" borderId="32" xfId="19" applyNumberFormat="1" applyFont="1" applyFill="1" applyBorder="1" applyAlignment="1">
      <alignment/>
    </xf>
    <xf numFmtId="169" fontId="6" fillId="2" borderId="6" xfId="19" applyNumberFormat="1" applyFont="1" applyFill="1" applyBorder="1" applyAlignment="1">
      <alignment/>
    </xf>
    <xf numFmtId="169" fontId="6" fillId="2" borderId="23" xfId="19" applyNumberFormat="1" applyFont="1" applyFill="1" applyBorder="1" applyAlignment="1">
      <alignment/>
    </xf>
    <xf numFmtId="169" fontId="6" fillId="2" borderId="40" xfId="19" applyNumberFormat="1" applyFont="1" applyFill="1" applyBorder="1" applyAlignment="1">
      <alignment/>
    </xf>
    <xf numFmtId="169" fontId="6" fillId="2" borderId="12" xfId="19" applyNumberFormat="1" applyFont="1" applyFill="1" applyBorder="1" applyAlignment="1">
      <alignment/>
    </xf>
    <xf numFmtId="169" fontId="6" fillId="2" borderId="37" xfId="19" applyNumberFormat="1" applyFont="1" applyFill="1" applyBorder="1" applyAlignment="1">
      <alignment/>
    </xf>
    <xf numFmtId="169" fontId="6" fillId="2" borderId="48" xfId="19" applyNumberFormat="1" applyFont="1" applyFill="1" applyBorder="1" applyAlignment="1">
      <alignment/>
    </xf>
    <xf numFmtId="169" fontId="6" fillId="2" borderId="20" xfId="19" applyNumberFormat="1" applyFont="1" applyFill="1" applyBorder="1" applyAlignment="1">
      <alignment/>
    </xf>
    <xf numFmtId="169" fontId="6" fillId="2" borderId="36" xfId="19" applyNumberFormat="1" applyFont="1" applyFill="1" applyBorder="1" applyAlignment="1">
      <alignment/>
    </xf>
    <xf numFmtId="169" fontId="6" fillId="2" borderId="38" xfId="19" applyNumberFormat="1" applyFont="1" applyFill="1" applyBorder="1" applyAlignment="1">
      <alignment/>
    </xf>
    <xf numFmtId="169" fontId="6" fillId="2" borderId="15" xfId="19" applyNumberFormat="1" applyFont="1" applyFill="1" applyBorder="1" applyAlignment="1">
      <alignment/>
    </xf>
    <xf numFmtId="169" fontId="6" fillId="2" borderId="16" xfId="19" applyNumberFormat="1" applyFont="1" applyFill="1" applyBorder="1" applyAlignment="1">
      <alignment/>
    </xf>
    <xf numFmtId="169" fontId="6" fillId="2" borderId="18" xfId="19" applyNumberFormat="1" applyFont="1" applyFill="1" applyBorder="1" applyAlignment="1">
      <alignment/>
    </xf>
    <xf numFmtId="169" fontId="6" fillId="0" borderId="5" xfId="0" applyNumberFormat="1" applyFont="1" applyBorder="1" applyAlignment="1">
      <alignment/>
    </xf>
    <xf numFmtId="169" fontId="6" fillId="0" borderId="26" xfId="0" applyNumberFormat="1" applyFont="1" applyBorder="1" applyAlignment="1">
      <alignment/>
    </xf>
    <xf numFmtId="169" fontId="6" fillId="0" borderId="30" xfId="0" applyNumberFormat="1" applyFont="1" applyBorder="1" applyAlignment="1">
      <alignment/>
    </xf>
    <xf numFmtId="169" fontId="6" fillId="0" borderId="6" xfId="0" applyNumberFormat="1" applyFont="1" applyBorder="1" applyAlignment="1">
      <alignment/>
    </xf>
    <xf numFmtId="169" fontId="6" fillId="0" borderId="23" xfId="0" applyNumberFormat="1" applyFont="1" applyBorder="1" applyAlignment="1">
      <alignment/>
    </xf>
    <xf numFmtId="169" fontId="6" fillId="0" borderId="24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6" fillId="0" borderId="44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6" fillId="0" borderId="20" xfId="0" applyNumberFormat="1" applyFont="1" applyBorder="1" applyAlignment="1">
      <alignment/>
    </xf>
    <xf numFmtId="169" fontId="6" fillId="0" borderId="39" xfId="0" applyNumberFormat="1" applyFont="1" applyBorder="1" applyAlignment="1">
      <alignment/>
    </xf>
    <xf numFmtId="169" fontId="6" fillId="0" borderId="43" xfId="0" applyNumberFormat="1" applyFont="1" applyBorder="1" applyAlignment="1">
      <alignment/>
    </xf>
    <xf numFmtId="169" fontId="6" fillId="0" borderId="29" xfId="0" applyNumberFormat="1" applyFont="1" applyBorder="1" applyAlignment="1">
      <alignment/>
    </xf>
    <xf numFmtId="169" fontId="7" fillId="0" borderId="44" xfId="0" applyNumberFormat="1" applyFont="1" applyBorder="1" applyAlignment="1">
      <alignment/>
    </xf>
    <xf numFmtId="169" fontId="6" fillId="2" borderId="0" xfId="0" applyNumberFormat="1" applyFont="1" applyFill="1" applyAlignment="1">
      <alignment/>
    </xf>
    <xf numFmtId="169" fontId="6" fillId="2" borderId="10" xfId="0" applyNumberFormat="1" applyFont="1" applyFill="1" applyBorder="1" applyAlignment="1">
      <alignment/>
    </xf>
    <xf numFmtId="169" fontId="6" fillId="2" borderId="33" xfId="0" applyNumberFormat="1" applyFont="1" applyFill="1" applyBorder="1" applyAlignment="1">
      <alignment/>
    </xf>
    <xf numFmtId="169" fontId="6" fillId="0" borderId="5" xfId="0" applyNumberFormat="1" applyFont="1" applyBorder="1" applyAlignment="1">
      <alignment/>
    </xf>
    <xf numFmtId="169" fontId="6" fillId="0" borderId="49" xfId="0" applyNumberFormat="1" applyFont="1" applyBorder="1" applyAlignment="1">
      <alignment/>
    </xf>
    <xf numFmtId="169" fontId="6" fillId="0" borderId="30" xfId="0" applyNumberFormat="1" applyFont="1" applyBorder="1" applyAlignment="1">
      <alignment/>
    </xf>
    <xf numFmtId="169" fontId="6" fillId="0" borderId="6" xfId="0" applyNumberFormat="1" applyFont="1" applyBorder="1" applyAlignment="1">
      <alignment/>
    </xf>
    <xf numFmtId="169" fontId="6" fillId="0" borderId="50" xfId="0" applyNumberFormat="1" applyFont="1" applyBorder="1" applyAlignment="1">
      <alignment/>
    </xf>
    <xf numFmtId="169" fontId="6" fillId="0" borderId="24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6" fillId="0" borderId="51" xfId="0" applyNumberFormat="1" applyFont="1" applyBorder="1" applyAlignment="1">
      <alignment/>
    </xf>
    <xf numFmtId="169" fontId="6" fillId="0" borderId="44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0" borderId="33" xfId="0" applyNumberFormat="1" applyFont="1" applyBorder="1" applyAlignment="1">
      <alignment/>
    </xf>
    <xf numFmtId="169" fontId="6" fillId="0" borderId="35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35" xfId="0" applyNumberFormat="1" applyFont="1" applyBorder="1" applyAlignment="1">
      <alignment/>
    </xf>
    <xf numFmtId="169" fontId="7" fillId="2" borderId="0" xfId="0" applyNumberFormat="1" applyFont="1" applyFill="1" applyBorder="1" applyAlignment="1">
      <alignment/>
    </xf>
    <xf numFmtId="169" fontId="6" fillId="0" borderId="27" xfId="0" applyNumberFormat="1" applyFont="1" applyBorder="1" applyAlignment="1">
      <alignment/>
    </xf>
    <xf numFmtId="169" fontId="6" fillId="0" borderId="31" xfId="0" applyNumberFormat="1" applyFont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0" borderId="3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9" fontId="6" fillId="0" borderId="34" xfId="0" applyNumberFormat="1" applyFont="1" applyBorder="1" applyAlignment="1">
      <alignment/>
    </xf>
    <xf numFmtId="169" fontId="6" fillId="2" borderId="25" xfId="0" applyNumberFormat="1" applyFont="1" applyFill="1" applyBorder="1" applyAlignment="1">
      <alignment/>
    </xf>
    <xf numFmtId="169" fontId="6" fillId="2" borderId="10" xfId="19" applyNumberFormat="1" applyFont="1" applyFill="1" applyBorder="1" applyAlignment="1">
      <alignment/>
    </xf>
    <xf numFmtId="169" fontId="6" fillId="2" borderId="33" xfId="19" applyNumberFormat="1" applyFont="1" applyFill="1" applyBorder="1" applyAlignment="1">
      <alignment/>
    </xf>
    <xf numFmtId="169" fontId="6" fillId="0" borderId="27" xfId="19" applyNumberFormat="1" applyFont="1" applyBorder="1" applyAlignment="1">
      <alignment/>
    </xf>
    <xf numFmtId="169" fontId="6" fillId="0" borderId="31" xfId="19" applyNumberFormat="1" applyFont="1" applyBorder="1" applyAlignment="1">
      <alignment/>
    </xf>
    <xf numFmtId="169" fontId="6" fillId="0" borderId="20" xfId="19" applyNumberFormat="1" applyFont="1" applyBorder="1" applyAlignment="1">
      <alignment/>
    </xf>
    <xf numFmtId="169" fontId="6" fillId="0" borderId="39" xfId="19" applyNumberFormat="1" applyFont="1" applyBorder="1" applyAlignment="1">
      <alignment/>
    </xf>
    <xf numFmtId="169" fontId="7" fillId="0" borderId="13" xfId="19" applyNumberFormat="1" applyFont="1" applyBorder="1" applyAlignment="1">
      <alignment/>
    </xf>
    <xf numFmtId="169" fontId="7" fillId="0" borderId="44" xfId="19" applyNumberFormat="1" applyFont="1" applyBorder="1" applyAlignment="1">
      <alignment/>
    </xf>
    <xf numFmtId="169" fontId="7" fillId="2" borderId="0" xfId="19" applyNumberFormat="1" applyFont="1" applyFill="1" applyBorder="1" applyAlignment="1">
      <alignment/>
    </xf>
    <xf numFmtId="169" fontId="7" fillId="2" borderId="25" xfId="19" applyNumberFormat="1" applyFont="1" applyFill="1" applyBorder="1" applyAlignment="1">
      <alignment/>
    </xf>
    <xf numFmtId="169" fontId="7" fillId="2" borderId="25" xfId="0" applyNumberFormat="1" applyFont="1" applyFill="1" applyBorder="1" applyAlignment="1">
      <alignment/>
    </xf>
    <xf numFmtId="10" fontId="10" fillId="0" borderId="27" xfId="0" applyNumberFormat="1" applyFont="1" applyFill="1" applyBorder="1" applyAlignment="1">
      <alignment/>
    </xf>
    <xf numFmtId="10" fontId="10" fillId="0" borderId="12" xfId="0" applyNumberFormat="1" applyFont="1" applyFill="1" applyBorder="1" applyAlignment="1">
      <alignment/>
    </xf>
    <xf numFmtId="10" fontId="6" fillId="0" borderId="29" xfId="0" applyNumberFormat="1" applyFont="1" applyBorder="1" applyAlignment="1">
      <alignment horizontal="right"/>
    </xf>
    <xf numFmtId="10" fontId="6" fillId="0" borderId="30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right"/>
    </xf>
    <xf numFmtId="10" fontId="6" fillId="0" borderId="24" xfId="0" applyNumberFormat="1" applyFont="1" applyBorder="1" applyAlignment="1">
      <alignment horizontal="right"/>
    </xf>
    <xf numFmtId="10" fontId="6" fillId="0" borderId="6" xfId="0" applyNumberFormat="1" applyFont="1" applyBorder="1" applyAlignment="1">
      <alignment horizontal="right"/>
    </xf>
    <xf numFmtId="10" fontId="6" fillId="0" borderId="44" xfId="0" applyNumberFormat="1" applyFont="1" applyBorder="1" applyAlignment="1">
      <alignment horizontal="right"/>
    </xf>
    <xf numFmtId="10" fontId="6" fillId="0" borderId="13" xfId="0" applyNumberFormat="1" applyFont="1" applyBorder="1" applyAlignment="1">
      <alignment horizontal="right"/>
    </xf>
    <xf numFmtId="10" fontId="7" fillId="4" borderId="15" xfId="0" applyNumberFormat="1" applyFont="1" applyFill="1" applyBorder="1" applyAlignment="1">
      <alignment horizontal="right"/>
    </xf>
    <xf numFmtId="10" fontId="7" fillId="4" borderId="34" xfId="0" applyNumberFormat="1" applyFont="1" applyFill="1" applyBorder="1" applyAlignment="1">
      <alignment horizontal="right"/>
    </xf>
    <xf numFmtId="10" fontId="6" fillId="0" borderId="31" xfId="0" applyNumberFormat="1" applyFont="1" applyBorder="1" applyAlignment="1">
      <alignment horizontal="right"/>
    </xf>
    <xf numFmtId="10" fontId="6" fillId="0" borderId="27" xfId="0" applyNumberFormat="1" applyFont="1" applyBorder="1" applyAlignment="1">
      <alignment horizontal="right"/>
    </xf>
    <xf numFmtId="10" fontId="6" fillId="4" borderId="12" xfId="0" applyNumberFormat="1" applyFont="1" applyFill="1" applyBorder="1" applyAlignment="1">
      <alignment horizontal="right"/>
    </xf>
    <xf numFmtId="10" fontId="7" fillId="4" borderId="31" xfId="0" applyNumberFormat="1" applyFont="1" applyFill="1" applyBorder="1" applyAlignment="1">
      <alignment horizontal="right"/>
    </xf>
    <xf numFmtId="10" fontId="7" fillId="4" borderId="27" xfId="0" applyNumberFormat="1" applyFont="1" applyFill="1" applyBorder="1" applyAlignment="1">
      <alignment horizontal="right"/>
    </xf>
    <xf numFmtId="10" fontId="6" fillId="0" borderId="24" xfId="0" applyNumberFormat="1" applyFont="1" applyBorder="1" applyAlignment="1">
      <alignment horizontal="right"/>
    </xf>
    <xf numFmtId="10" fontId="6" fillId="0" borderId="6" xfId="0" applyNumberFormat="1" applyFont="1" applyBorder="1" applyAlignment="1">
      <alignment horizontal="right"/>
    </xf>
    <xf numFmtId="10" fontId="6" fillId="0" borderId="29" xfId="0" applyNumberFormat="1" applyFont="1" applyBorder="1" applyAlignment="1">
      <alignment horizontal="right"/>
    </xf>
    <xf numFmtId="10" fontId="6" fillId="0" borderId="4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6" fillId="0" borderId="12" xfId="0" applyNumberFormat="1" applyFont="1" applyBorder="1" applyAlignment="1">
      <alignment horizontal="right"/>
    </xf>
    <xf numFmtId="10" fontId="6" fillId="0" borderId="35" xfId="0" applyNumberFormat="1" applyFont="1" applyBorder="1" applyAlignment="1">
      <alignment horizontal="right"/>
    </xf>
    <xf numFmtId="169" fontId="6" fillId="0" borderId="27" xfId="0" applyNumberFormat="1" applyFont="1" applyBorder="1" applyAlignment="1">
      <alignment horizontal="right"/>
    </xf>
    <xf numFmtId="169" fontId="6" fillId="0" borderId="52" xfId="0" applyNumberFormat="1" applyFont="1" applyBorder="1" applyAlignment="1">
      <alignment horizontal="right"/>
    </xf>
    <xf numFmtId="169" fontId="6" fillId="0" borderId="28" xfId="0" applyNumberFormat="1" applyFont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6" fillId="0" borderId="6" xfId="0" applyNumberFormat="1" applyFont="1" applyBorder="1" applyAlignment="1">
      <alignment horizontal="right"/>
    </xf>
    <xf numFmtId="169" fontId="6" fillId="0" borderId="50" xfId="0" applyNumberFormat="1" applyFont="1" applyBorder="1" applyAlignment="1">
      <alignment horizontal="right"/>
    </xf>
    <xf numFmtId="169" fontId="6" fillId="0" borderId="23" xfId="0" applyNumberFormat="1" applyFont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0" fillId="0" borderId="50" xfId="0" applyNumberFormat="1" applyFont="1" applyFill="1" applyBorder="1" applyAlignment="1">
      <alignment horizontal="right"/>
    </xf>
    <xf numFmtId="169" fontId="10" fillId="0" borderId="23" xfId="0" applyNumberFormat="1" applyFont="1" applyFill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169" fontId="10" fillId="0" borderId="6" xfId="0" applyNumberFormat="1" applyFont="1" applyBorder="1" applyAlignment="1">
      <alignment horizontal="right"/>
    </xf>
    <xf numFmtId="169" fontId="10" fillId="0" borderId="12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0" fillId="0" borderId="37" xfId="0" applyNumberFormat="1" applyFont="1" applyBorder="1" applyAlignment="1">
      <alignment horizontal="right"/>
    </xf>
    <xf numFmtId="169" fontId="10" fillId="0" borderId="39" xfId="0" applyNumberFormat="1" applyFont="1" applyBorder="1" applyAlignment="1">
      <alignment horizontal="right"/>
    </xf>
    <xf numFmtId="169" fontId="10" fillId="0" borderId="20" xfId="0" applyNumberFormat="1" applyFont="1" applyBorder="1" applyAlignment="1">
      <alignment horizontal="right"/>
    </xf>
    <xf numFmtId="204" fontId="6" fillId="0" borderId="5" xfId="0" applyNumberFormat="1" applyFont="1" applyBorder="1" applyAlignment="1">
      <alignment horizontal="right"/>
    </xf>
    <xf numFmtId="204" fontId="6" fillId="0" borderId="26" xfId="0" applyNumberFormat="1" applyFont="1" applyBorder="1" applyAlignment="1">
      <alignment horizontal="right"/>
    </xf>
    <xf numFmtId="204" fontId="6" fillId="0" borderId="30" xfId="0" applyNumberFormat="1" applyFont="1" applyBorder="1" applyAlignment="1">
      <alignment horizontal="right"/>
    </xf>
    <xf numFmtId="204" fontId="6" fillId="0" borderId="6" xfId="0" applyNumberFormat="1" applyFont="1" applyBorder="1" applyAlignment="1">
      <alignment horizontal="right"/>
    </xf>
    <xf numFmtId="204" fontId="6" fillId="0" borderId="23" xfId="0" applyNumberFormat="1" applyFont="1" applyBorder="1" applyAlignment="1">
      <alignment horizontal="right"/>
    </xf>
    <xf numFmtId="204" fontId="6" fillId="0" borderId="24" xfId="0" applyNumberFormat="1" applyFont="1" applyBorder="1" applyAlignment="1">
      <alignment horizontal="right"/>
    </xf>
    <xf numFmtId="204" fontId="6" fillId="0" borderId="13" xfId="0" applyNumberFormat="1" applyFont="1" applyBorder="1" applyAlignment="1">
      <alignment horizontal="right"/>
    </xf>
    <xf numFmtId="204" fontId="6" fillId="0" borderId="41" xfId="0" applyNumberFormat="1" applyFont="1" applyBorder="1" applyAlignment="1">
      <alignment horizontal="right"/>
    </xf>
    <xf numFmtId="204" fontId="6" fillId="0" borderId="44" xfId="0" applyNumberFormat="1" applyFont="1" applyBorder="1" applyAlignment="1">
      <alignment horizontal="right"/>
    </xf>
    <xf numFmtId="204" fontId="6" fillId="0" borderId="27" xfId="26" applyNumberFormat="1" applyFont="1" applyBorder="1" applyAlignment="1">
      <alignment horizontal="right"/>
    </xf>
    <xf numFmtId="204" fontId="6" fillId="0" borderId="28" xfId="26" applyNumberFormat="1" applyFont="1" applyBorder="1" applyAlignment="1">
      <alignment horizontal="right"/>
    </xf>
    <xf numFmtId="204" fontId="6" fillId="0" borderId="31" xfId="26" applyNumberFormat="1" applyFont="1" applyBorder="1" applyAlignment="1">
      <alignment horizontal="right"/>
    </xf>
    <xf numFmtId="204" fontId="6" fillId="0" borderId="6" xfId="26" applyNumberFormat="1" applyFont="1" applyBorder="1" applyAlignment="1">
      <alignment horizontal="right"/>
    </xf>
    <xf numFmtId="204" fontId="6" fillId="0" borderId="23" xfId="26" applyNumberFormat="1" applyFont="1" applyBorder="1" applyAlignment="1">
      <alignment horizontal="right"/>
    </xf>
    <xf numFmtId="204" fontId="6" fillId="0" borderId="24" xfId="26" applyNumberFormat="1" applyFont="1" applyBorder="1" applyAlignment="1">
      <alignment horizontal="right"/>
    </xf>
    <xf numFmtId="204" fontId="6" fillId="0" borderId="29" xfId="26" applyNumberFormat="1" applyFont="1" applyBorder="1" applyAlignment="1">
      <alignment horizontal="right"/>
    </xf>
    <xf numFmtId="204" fontId="6" fillId="0" borderId="42" xfId="26" applyNumberFormat="1" applyFont="1" applyBorder="1" applyAlignment="1">
      <alignment horizontal="right"/>
    </xf>
    <xf numFmtId="204" fontId="6" fillId="0" borderId="43" xfId="0" applyNumberFormat="1" applyFont="1" applyBorder="1" applyAlignment="1">
      <alignment horizontal="right"/>
    </xf>
    <xf numFmtId="204" fontId="6" fillId="0" borderId="29" xfId="0" applyNumberFormat="1" applyFont="1" applyBorder="1" applyAlignment="1">
      <alignment horizontal="right"/>
    </xf>
    <xf numFmtId="204" fontId="6" fillId="0" borderId="27" xfId="0" applyNumberFormat="1" applyFont="1" applyBorder="1" applyAlignment="1">
      <alignment horizontal="right"/>
    </xf>
    <xf numFmtId="204" fontId="6" fillId="0" borderId="31" xfId="0" applyNumberFormat="1" applyFont="1" applyBorder="1" applyAlignment="1">
      <alignment horizontal="right"/>
    </xf>
    <xf numFmtId="169" fontId="6" fillId="0" borderId="5" xfId="0" applyNumberFormat="1" applyFont="1" applyBorder="1" applyAlignment="1">
      <alignment horizontal="right"/>
    </xf>
    <xf numFmtId="169" fontId="6" fillId="0" borderId="27" xfId="0" applyNumberFormat="1" applyFont="1" applyBorder="1" applyAlignment="1">
      <alignment horizontal="right"/>
    </xf>
    <xf numFmtId="204" fontId="6" fillId="0" borderId="5" xfId="26" applyNumberFormat="1" applyFont="1" applyFill="1" applyBorder="1" applyAlignment="1">
      <alignment horizontal="right"/>
    </xf>
    <xf numFmtId="204" fontId="6" fillId="0" borderId="26" xfId="26" applyNumberFormat="1" applyFont="1" applyFill="1" applyBorder="1" applyAlignment="1">
      <alignment horizontal="right"/>
    </xf>
    <xf numFmtId="204" fontId="6" fillId="0" borderId="30" xfId="26" applyNumberFormat="1" applyFont="1" applyFill="1" applyBorder="1" applyAlignment="1">
      <alignment horizontal="right"/>
    </xf>
    <xf numFmtId="204" fontId="6" fillId="0" borderId="5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right"/>
    </xf>
    <xf numFmtId="169" fontId="6" fillId="2" borderId="6" xfId="0" applyNumberFormat="1" applyFont="1" applyFill="1" applyBorder="1" applyAlignment="1">
      <alignment/>
    </xf>
    <xf numFmtId="169" fontId="6" fillId="5" borderId="6" xfId="0" applyNumberFormat="1" applyFont="1" applyFill="1" applyBorder="1" applyAlignment="1">
      <alignment/>
    </xf>
    <xf numFmtId="169" fontId="6" fillId="5" borderId="23" xfId="0" applyNumberFormat="1" applyFont="1" applyFill="1" applyBorder="1" applyAlignment="1">
      <alignment/>
    </xf>
    <xf numFmtId="169" fontId="6" fillId="2" borderId="23" xfId="0" applyNumberFormat="1" applyFont="1" applyFill="1" applyBorder="1" applyAlignment="1">
      <alignment/>
    </xf>
    <xf numFmtId="169" fontId="6" fillId="2" borderId="24" xfId="0" applyNumberFormat="1" applyFont="1" applyFill="1" applyBorder="1" applyAlignment="1">
      <alignment/>
    </xf>
    <xf numFmtId="169" fontId="6" fillId="0" borderId="6" xfId="0" applyNumberFormat="1" applyFont="1" applyFill="1" applyBorder="1" applyAlignment="1">
      <alignment/>
    </xf>
    <xf numFmtId="169" fontId="6" fillId="0" borderId="23" xfId="0" applyNumberFormat="1" applyFont="1" applyFill="1" applyBorder="1" applyAlignment="1">
      <alignment/>
    </xf>
    <xf numFmtId="169" fontId="6" fillId="0" borderId="6" xfId="29" applyNumberFormat="1" applyFont="1" applyFill="1" applyBorder="1" applyAlignment="1">
      <alignment/>
    </xf>
    <xf numFmtId="169" fontId="6" fillId="0" borderId="23" xfId="29" applyNumberFormat="1" applyFont="1" applyFill="1" applyBorder="1" applyAlignment="1">
      <alignment/>
    </xf>
    <xf numFmtId="169" fontId="6" fillId="0" borderId="24" xfId="29" applyNumberFormat="1" applyFont="1" applyBorder="1" applyAlignment="1">
      <alignment/>
    </xf>
    <xf numFmtId="169" fontId="6" fillId="0" borderId="6" xfId="29" applyNumberFormat="1" applyFont="1" applyBorder="1" applyAlignment="1">
      <alignment/>
    </xf>
    <xf numFmtId="169" fontId="6" fillId="0" borderId="27" xfId="21" applyNumberFormat="1" applyFont="1" applyBorder="1" applyAlignment="1">
      <alignment/>
    </xf>
    <xf numFmtId="169" fontId="6" fillId="0" borderId="28" xfId="21" applyNumberFormat="1" applyFont="1" applyBorder="1" applyAlignment="1">
      <alignment/>
    </xf>
    <xf numFmtId="169" fontId="6" fillId="0" borderId="5" xfId="21" applyNumberFormat="1" applyFont="1" applyBorder="1" applyAlignment="1">
      <alignment horizontal="right"/>
    </xf>
    <xf numFmtId="169" fontId="6" fillId="0" borderId="26" xfId="21" applyNumberFormat="1" applyFont="1" applyBorder="1" applyAlignment="1">
      <alignment horizontal="right"/>
    </xf>
    <xf numFmtId="169" fontId="6" fillId="0" borderId="30" xfId="0" applyNumberFormat="1" applyFont="1" applyBorder="1" applyAlignment="1">
      <alignment horizontal="right"/>
    </xf>
    <xf numFmtId="169" fontId="6" fillId="0" borderId="27" xfId="21" applyNumberFormat="1" applyFont="1" applyBorder="1" applyAlignment="1">
      <alignment horizontal="right"/>
    </xf>
    <xf numFmtId="169" fontId="6" fillId="0" borderId="28" xfId="21" applyNumberFormat="1" applyFont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6" fillId="0" borderId="39" xfId="0" applyNumberFormat="1" applyFont="1" applyBorder="1" applyAlignment="1">
      <alignment horizontal="right"/>
    </xf>
    <xf numFmtId="169" fontId="6" fillId="0" borderId="20" xfId="0" applyNumberFormat="1" applyFont="1" applyBorder="1" applyAlignment="1">
      <alignment horizontal="right"/>
    </xf>
    <xf numFmtId="169" fontId="6" fillId="0" borderId="36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/>
    </xf>
    <xf numFmtId="169" fontId="6" fillId="0" borderId="21" xfId="0" applyNumberFormat="1" applyFont="1" applyBorder="1" applyAlignment="1">
      <alignment/>
    </xf>
    <xf numFmtId="169" fontId="6" fillId="0" borderId="22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169" fontId="6" fillId="0" borderId="41" xfId="0" applyNumberFormat="1" applyFont="1" applyBorder="1" applyAlignment="1">
      <alignment/>
    </xf>
    <xf numFmtId="169" fontId="6" fillId="0" borderId="44" xfId="0" applyNumberFormat="1" applyFont="1" applyBorder="1" applyAlignment="1">
      <alignment/>
    </xf>
    <xf numFmtId="169" fontId="6" fillId="0" borderId="20" xfId="21" applyNumberFormat="1" applyFont="1" applyBorder="1" applyAlignment="1">
      <alignment/>
    </xf>
    <xf numFmtId="169" fontId="6" fillId="0" borderId="36" xfId="21" applyNumberFormat="1" applyFont="1" applyBorder="1" applyAlignment="1">
      <alignment/>
    </xf>
    <xf numFmtId="169" fontId="6" fillId="0" borderId="39" xfId="21" applyNumberFormat="1" applyFont="1" applyBorder="1" applyAlignment="1">
      <alignment/>
    </xf>
    <xf numFmtId="169" fontId="10" fillId="0" borderId="6" xfId="0" applyNumberFormat="1" applyFont="1" applyBorder="1" applyAlignment="1">
      <alignment/>
    </xf>
    <xf numFmtId="169" fontId="10" fillId="0" borderId="23" xfId="0" applyNumberFormat="1" applyFont="1" applyBorder="1" applyAlignment="1">
      <alignment/>
    </xf>
    <xf numFmtId="169" fontId="10" fillId="0" borderId="24" xfId="0" applyNumberFormat="1" applyFont="1" applyBorder="1" applyAlignment="1">
      <alignment/>
    </xf>
    <xf numFmtId="169" fontId="10" fillId="0" borderId="6" xfId="21" applyNumberFormat="1" applyFont="1" applyBorder="1" applyAlignment="1">
      <alignment/>
    </xf>
    <xf numFmtId="169" fontId="10" fillId="0" borderId="23" xfId="21" applyNumberFormat="1" applyFont="1" applyBorder="1" applyAlignment="1">
      <alignment/>
    </xf>
    <xf numFmtId="169" fontId="10" fillId="0" borderId="24" xfId="21" applyNumberFormat="1" applyFont="1" applyBorder="1" applyAlignment="1">
      <alignment/>
    </xf>
    <xf numFmtId="204" fontId="6" fillId="0" borderId="12" xfId="21" applyNumberFormat="1" applyFont="1" applyBorder="1" applyAlignment="1">
      <alignment horizontal="right"/>
    </xf>
    <xf numFmtId="204" fontId="6" fillId="0" borderId="37" xfId="21" applyNumberFormat="1" applyFont="1" applyBorder="1" applyAlignment="1">
      <alignment horizontal="right"/>
    </xf>
    <xf numFmtId="204" fontId="6" fillId="0" borderId="35" xfId="21" applyNumberFormat="1" applyFont="1" applyBorder="1" applyAlignment="1">
      <alignment horizontal="right"/>
    </xf>
    <xf numFmtId="204" fontId="6" fillId="0" borderId="30" xfId="0" applyNumberFormat="1" applyFont="1" applyBorder="1" applyAlignment="1">
      <alignment horizontal="right"/>
    </xf>
    <xf numFmtId="204" fontId="6" fillId="0" borderId="35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3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4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6" fillId="0" borderId="48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7" fillId="0" borderId="48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9" xfId="0" applyNumberFormat="1" applyFont="1" applyBorder="1" applyAlignment="1">
      <alignment/>
    </xf>
    <xf numFmtId="169" fontId="7" fillId="0" borderId="18" xfId="0" applyNumberFormat="1" applyFont="1" applyBorder="1" applyAlignment="1">
      <alignment/>
    </xf>
    <xf numFmtId="204" fontId="6" fillId="0" borderId="11" xfId="20" applyNumberFormat="1" applyFont="1" applyBorder="1" applyAlignment="1">
      <alignment/>
    </xf>
    <xf numFmtId="204" fontId="6" fillId="0" borderId="6" xfId="20" applyNumberFormat="1" applyFont="1" applyBorder="1" applyAlignment="1">
      <alignment/>
    </xf>
    <xf numFmtId="204" fontId="6" fillId="0" borderId="23" xfId="20" applyNumberFormat="1" applyFont="1" applyBorder="1" applyAlignment="1">
      <alignment/>
    </xf>
    <xf numFmtId="204" fontId="6" fillId="0" borderId="20" xfId="20" applyNumberFormat="1" applyFont="1" applyBorder="1" applyAlignment="1">
      <alignment/>
    </xf>
    <xf numFmtId="204" fontId="6" fillId="0" borderId="36" xfId="20" applyNumberFormat="1" applyFont="1" applyBorder="1" applyAlignment="1">
      <alignment/>
    </xf>
    <xf numFmtId="204" fontId="6" fillId="0" borderId="11" xfId="20" applyNumberFormat="1" applyFont="1" applyBorder="1" applyAlignment="1">
      <alignment horizontal="right"/>
    </xf>
    <xf numFmtId="204" fontId="6" fillId="0" borderId="22" xfId="20" applyNumberFormat="1" applyFont="1" applyBorder="1" applyAlignment="1">
      <alignment horizontal="right"/>
    </xf>
    <xf numFmtId="204" fontId="6" fillId="0" borderId="6" xfId="20" applyNumberFormat="1" applyFont="1" applyBorder="1" applyAlignment="1">
      <alignment horizontal="right"/>
    </xf>
    <xf numFmtId="204" fontId="6" fillId="0" borderId="24" xfId="20" applyNumberFormat="1" applyFont="1" applyBorder="1" applyAlignment="1">
      <alignment horizontal="right"/>
    </xf>
    <xf numFmtId="204" fontId="6" fillId="0" borderId="6" xfId="29" applyNumberFormat="1" applyFont="1" applyBorder="1" applyAlignment="1">
      <alignment horizontal="right"/>
    </xf>
    <xf numFmtId="204" fontId="6" fillId="0" borderId="40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right"/>
    </xf>
    <xf numFmtId="204" fontId="6" fillId="0" borderId="37" xfId="0" applyNumberFormat="1" applyFont="1" applyBorder="1" applyAlignment="1">
      <alignment horizontal="right"/>
    </xf>
    <xf numFmtId="204" fontId="6" fillId="0" borderId="48" xfId="0" applyNumberFormat="1" applyFont="1" applyBorder="1" applyAlignment="1">
      <alignment horizontal="right"/>
    </xf>
    <xf numFmtId="10" fontId="7" fillId="4" borderId="37" xfId="29" applyNumberFormat="1" applyFont="1" applyFill="1" applyBorder="1" applyAlignment="1">
      <alignment horizontal="right"/>
    </xf>
    <xf numFmtId="10" fontId="7" fillId="4" borderId="48" xfId="29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 horizontal="right"/>
    </xf>
    <xf numFmtId="171" fontId="6" fillId="0" borderId="15" xfId="20" applyNumberFormat="1" applyFont="1" applyBorder="1" applyAlignment="1">
      <alignment/>
    </xf>
    <xf numFmtId="171" fontId="6" fillId="0" borderId="16" xfId="20" applyNumberFormat="1" applyFont="1" applyBorder="1" applyAlignment="1">
      <alignment/>
    </xf>
    <xf numFmtId="169" fontId="6" fillId="0" borderId="11" xfId="20" applyNumberFormat="1" applyFont="1" applyBorder="1" applyAlignment="1">
      <alignment horizontal="right"/>
    </xf>
    <xf numFmtId="169" fontId="6" fillId="0" borderId="21" xfId="20" applyNumberFormat="1" applyFont="1" applyBorder="1" applyAlignment="1">
      <alignment horizontal="right"/>
    </xf>
    <xf numFmtId="169" fontId="6" fillId="0" borderId="32" xfId="20" applyNumberFormat="1" applyFont="1" applyBorder="1" applyAlignment="1">
      <alignment horizontal="right"/>
    </xf>
    <xf numFmtId="169" fontId="6" fillId="0" borderId="6" xfId="20" applyNumberFormat="1" applyFont="1" applyBorder="1" applyAlignment="1">
      <alignment horizontal="right"/>
    </xf>
    <xf numFmtId="169" fontId="6" fillId="0" borderId="23" xfId="20" applyNumberFormat="1" applyFont="1" applyBorder="1" applyAlignment="1">
      <alignment horizontal="right"/>
    </xf>
    <xf numFmtId="169" fontId="6" fillId="0" borderId="40" xfId="20" applyNumberFormat="1" applyFont="1" applyBorder="1" applyAlignment="1">
      <alignment horizontal="right"/>
    </xf>
    <xf numFmtId="169" fontId="6" fillId="0" borderId="5" xfId="20" applyNumberFormat="1" applyFont="1" applyBorder="1" applyAlignment="1">
      <alignment horizontal="right"/>
    </xf>
    <xf numFmtId="169" fontId="6" fillId="0" borderId="26" xfId="20" applyNumberFormat="1" applyFont="1" applyBorder="1" applyAlignment="1">
      <alignment horizontal="right"/>
    </xf>
    <xf numFmtId="169" fontId="6" fillId="0" borderId="53" xfId="20" applyNumberFormat="1" applyFont="1" applyBorder="1" applyAlignment="1">
      <alignment horizontal="right"/>
    </xf>
    <xf numFmtId="169" fontId="6" fillId="0" borderId="31" xfId="0" applyNumberFormat="1" applyFont="1" applyFill="1" applyBorder="1" applyAlignment="1">
      <alignment/>
    </xf>
    <xf numFmtId="169" fontId="6" fillId="0" borderId="27" xfId="0" applyNumberFormat="1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169" fontId="6" fillId="0" borderId="24" xfId="0" applyNumberFormat="1" applyFont="1" applyFill="1" applyBorder="1" applyAlignment="1">
      <alignment/>
    </xf>
    <xf numFmtId="169" fontId="10" fillId="0" borderId="6" xfId="0" applyNumberFormat="1" applyFont="1" applyBorder="1" applyAlignment="1">
      <alignment/>
    </xf>
    <xf numFmtId="169" fontId="10" fillId="0" borderId="24" xfId="0" applyNumberFormat="1" applyFont="1" applyBorder="1" applyAlignment="1">
      <alignment/>
    </xf>
    <xf numFmtId="169" fontId="10" fillId="0" borderId="29" xfId="0" applyNumberFormat="1" applyFont="1" applyBorder="1" applyAlignment="1">
      <alignment/>
    </xf>
    <xf numFmtId="169" fontId="10" fillId="0" borderId="43" xfId="0" applyNumberFormat="1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34" xfId="0" applyNumberFormat="1" applyFont="1" applyBorder="1" applyAlignment="1">
      <alignment/>
    </xf>
    <xf numFmtId="204" fontId="6" fillId="0" borderId="5" xfId="0" applyNumberFormat="1" applyFont="1" applyBorder="1" applyAlignment="1">
      <alignment/>
    </xf>
    <xf numFmtId="204" fontId="6" fillId="0" borderId="26" xfId="0" applyNumberFormat="1" applyFont="1" applyBorder="1" applyAlignment="1">
      <alignment/>
    </xf>
    <xf numFmtId="204" fontId="6" fillId="0" borderId="30" xfId="0" applyNumberFormat="1" applyFont="1" applyBorder="1" applyAlignment="1">
      <alignment/>
    </xf>
    <xf numFmtId="204" fontId="6" fillId="0" borderId="6" xfId="0" applyNumberFormat="1" applyFont="1" applyBorder="1" applyAlignment="1">
      <alignment/>
    </xf>
    <xf numFmtId="204" fontId="6" fillId="0" borderId="23" xfId="0" applyNumberFormat="1" applyFont="1" applyBorder="1" applyAlignment="1">
      <alignment/>
    </xf>
    <xf numFmtId="204" fontId="6" fillId="0" borderId="24" xfId="0" applyNumberFormat="1" applyFont="1" applyBorder="1" applyAlignment="1">
      <alignment/>
    </xf>
    <xf numFmtId="204" fontId="6" fillId="0" borderId="29" xfId="0" applyNumberFormat="1" applyFont="1" applyBorder="1" applyAlignment="1">
      <alignment/>
    </xf>
    <xf numFmtId="204" fontId="6" fillId="0" borderId="43" xfId="0" applyNumberFormat="1" applyFont="1" applyBorder="1" applyAlignment="1">
      <alignment/>
    </xf>
    <xf numFmtId="169" fontId="7" fillId="0" borderId="34" xfId="0" applyNumberFormat="1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6" fillId="0" borderId="31" xfId="0" applyNumberFormat="1" applyFont="1" applyBorder="1" applyAlignment="1">
      <alignment/>
    </xf>
    <xf numFmtId="169" fontId="6" fillId="0" borderId="27" xfId="0" applyNumberFormat="1" applyFont="1" applyBorder="1" applyAlignment="1">
      <alignment/>
    </xf>
    <xf numFmtId="169" fontId="7" fillId="0" borderId="44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204" fontId="6" fillId="0" borderId="20" xfId="0" applyNumberFormat="1" applyFont="1" applyBorder="1" applyAlignment="1">
      <alignment horizontal="right"/>
    </xf>
    <xf numFmtId="204" fontId="6" fillId="0" borderId="6" xfId="0" applyNumberFormat="1" applyFont="1" applyFill="1" applyBorder="1" applyAlignment="1">
      <alignment/>
    </xf>
    <xf numFmtId="204" fontId="6" fillId="0" borderId="20" xfId="0" applyNumberFormat="1" applyFont="1" applyBorder="1" applyAlignment="1">
      <alignment/>
    </xf>
    <xf numFmtId="204" fontId="6" fillId="0" borderId="13" xfId="0" applyNumberFormat="1" applyFont="1" applyBorder="1" applyAlignment="1">
      <alignment/>
    </xf>
    <xf numFmtId="207" fontId="6" fillId="0" borderId="27" xfId="0" applyNumberFormat="1" applyFont="1" applyFill="1" applyBorder="1" applyAlignment="1">
      <alignment/>
    </xf>
    <xf numFmtId="207" fontId="6" fillId="0" borderId="12" xfId="0" applyNumberFormat="1" applyFont="1" applyFill="1" applyBorder="1" applyAlignment="1">
      <alignment/>
    </xf>
    <xf numFmtId="204" fontId="6" fillId="0" borderId="12" xfId="0" applyNumberFormat="1" applyFont="1" applyFill="1" applyBorder="1" applyAlignment="1">
      <alignment/>
    </xf>
    <xf numFmtId="204" fontId="6" fillId="0" borderId="20" xfId="24" applyNumberFormat="1" applyFont="1" applyBorder="1" applyAlignment="1">
      <alignment horizontal="right"/>
    </xf>
    <xf numFmtId="204" fontId="6" fillId="0" borderId="6" xfId="24" applyNumberFormat="1" applyFont="1" applyBorder="1" applyAlignment="1">
      <alignment horizontal="right"/>
    </xf>
    <xf numFmtId="204" fontId="6" fillId="0" borderId="12" xfId="24" applyNumberFormat="1" applyFont="1" applyBorder="1" applyAlignment="1">
      <alignment horizontal="right"/>
    </xf>
    <xf numFmtId="204" fontId="6" fillId="0" borderId="12" xfId="0" applyNumberFormat="1" applyFont="1" applyBorder="1" applyAlignment="1">
      <alignment/>
    </xf>
    <xf numFmtId="207" fontId="6" fillId="0" borderId="5" xfId="0" applyNumberFormat="1" applyFont="1" applyFill="1" applyBorder="1" applyAlignment="1">
      <alignment/>
    </xf>
    <xf numFmtId="207" fontId="6" fillId="0" borderId="6" xfId="0" applyNumberFormat="1" applyFont="1" applyFill="1" applyBorder="1" applyAlignment="1">
      <alignment/>
    </xf>
    <xf numFmtId="207" fontId="6" fillId="0" borderId="2" xfId="0" applyNumberFormat="1" applyFont="1" applyFill="1" applyBorder="1" applyAlignment="1">
      <alignment/>
    </xf>
    <xf numFmtId="207" fontId="6" fillId="0" borderId="50" xfId="0" applyNumberFormat="1" applyFont="1" applyFill="1" applyBorder="1" applyAlignment="1">
      <alignment/>
    </xf>
    <xf numFmtId="207" fontId="6" fillId="0" borderId="24" xfId="0" applyNumberFormat="1" applyFont="1" applyFill="1" applyBorder="1" applyAlignment="1">
      <alignment/>
    </xf>
    <xf numFmtId="169" fontId="6" fillId="2" borderId="54" xfId="25" applyNumberFormat="1" applyFont="1" applyFill="1" applyBorder="1" applyAlignment="1">
      <alignment/>
    </xf>
    <xf numFmtId="169" fontId="6" fillId="2" borderId="55" xfId="25" applyNumberFormat="1" applyFont="1" applyFill="1" applyBorder="1" applyAlignment="1">
      <alignment/>
    </xf>
    <xf numFmtId="169" fontId="6" fillId="2" borderId="56" xfId="25" applyNumberFormat="1" applyFont="1" applyFill="1" applyBorder="1" applyAlignment="1">
      <alignment/>
    </xf>
    <xf numFmtId="169" fontId="7" fillId="5" borderId="57" xfId="23" applyNumberFormat="1" applyFont="1" applyFill="1" applyBorder="1" applyAlignment="1">
      <alignment/>
    </xf>
    <xf numFmtId="169" fontId="7" fillId="0" borderId="13" xfId="25" applyNumberFormat="1" applyFont="1" applyBorder="1" applyAlignment="1">
      <alignment/>
    </xf>
    <xf numFmtId="169" fontId="6" fillId="2" borderId="7" xfId="25" applyNumberFormat="1" applyFont="1" applyFill="1" applyBorder="1" applyAlignment="1">
      <alignment/>
    </xf>
    <xf numFmtId="169" fontId="6" fillId="2" borderId="25" xfId="25" applyNumberFormat="1" applyFont="1" applyFill="1" applyBorder="1" applyAlignment="1">
      <alignment/>
    </xf>
    <xf numFmtId="169" fontId="6" fillId="2" borderId="11" xfId="25" applyNumberFormat="1" applyFont="1" applyFill="1" applyBorder="1" applyAlignment="1">
      <alignment/>
    </xf>
    <xf numFmtId="169" fontId="10" fillId="2" borderId="2" xfId="25" applyNumberFormat="1" applyFont="1" applyFill="1" applyBorder="1" applyAlignment="1">
      <alignment/>
    </xf>
    <xf numFmtId="169" fontId="10" fillId="2" borderId="50" xfId="25" applyNumberFormat="1" applyFont="1" applyFill="1" applyBorder="1" applyAlignment="1">
      <alignment/>
    </xf>
    <xf numFmtId="169" fontId="10" fillId="2" borderId="6" xfId="25" applyNumberFormat="1" applyFont="1" applyFill="1" applyBorder="1" applyAlignment="1">
      <alignment/>
    </xf>
    <xf numFmtId="169" fontId="10" fillId="2" borderId="8" xfId="25" applyNumberFormat="1" applyFont="1" applyFill="1" applyBorder="1" applyAlignment="1">
      <alignment/>
    </xf>
    <xf numFmtId="169" fontId="10" fillId="2" borderId="0" xfId="25" applyNumberFormat="1" applyFont="1" applyFill="1" applyBorder="1" applyAlignment="1">
      <alignment/>
    </xf>
    <xf numFmtId="169" fontId="10" fillId="2" borderId="20" xfId="25" applyNumberFormat="1" applyFont="1" applyFill="1" applyBorder="1" applyAlignment="1">
      <alignment/>
    </xf>
    <xf numFmtId="169" fontId="6" fillId="2" borderId="4" xfId="25" applyNumberFormat="1" applyFont="1" applyFill="1" applyBorder="1" applyAlignment="1">
      <alignment/>
    </xf>
    <xf numFmtId="169" fontId="6" fillId="2" borderId="51" xfId="25" applyNumberFormat="1" applyFont="1" applyFill="1" applyBorder="1" applyAlignment="1">
      <alignment/>
    </xf>
    <xf numFmtId="169" fontId="6" fillId="2" borderId="13" xfId="25" applyNumberFormat="1" applyFont="1" applyFill="1" applyBorder="1" applyAlignment="1">
      <alignment/>
    </xf>
    <xf numFmtId="169" fontId="6" fillId="0" borderId="8" xfId="25" applyNumberFormat="1" applyFont="1" applyFill="1" applyBorder="1" applyAlignment="1">
      <alignment/>
    </xf>
    <xf numFmtId="169" fontId="6" fillId="2" borderId="0" xfId="25" applyNumberFormat="1" applyFont="1" applyFill="1" applyBorder="1" applyAlignment="1">
      <alignment/>
    </xf>
    <xf numFmtId="169" fontId="6" fillId="2" borderId="8" xfId="25" applyNumberFormat="1" applyFont="1" applyFill="1" applyBorder="1" applyAlignment="1">
      <alignment/>
    </xf>
    <xf numFmtId="169" fontId="6" fillId="2" borderId="20" xfId="25" applyNumberFormat="1" applyFont="1" applyFill="1" applyBorder="1" applyAlignment="1">
      <alignment/>
    </xf>
    <xf numFmtId="169" fontId="6" fillId="2" borderId="9" xfId="25" applyNumberFormat="1" applyFont="1" applyFill="1" applyBorder="1" applyAlignment="1">
      <alignment/>
    </xf>
    <xf numFmtId="169" fontId="6" fillId="2" borderId="15" xfId="25" applyNumberFormat="1" applyFont="1" applyFill="1" applyBorder="1" applyAlignment="1">
      <alignment/>
    </xf>
    <xf numFmtId="169" fontId="6" fillId="0" borderId="20" xfId="25" applyNumberFormat="1" applyFont="1" applyFill="1" applyBorder="1" applyAlignment="1">
      <alignment/>
    </xf>
    <xf numFmtId="169" fontId="6" fillId="2" borderId="2" xfId="25" applyNumberFormat="1" applyFont="1" applyFill="1" applyBorder="1" applyAlignment="1">
      <alignment/>
    </xf>
    <xf numFmtId="169" fontId="6" fillId="2" borderId="6" xfId="25" applyNumberFormat="1" applyFont="1" applyFill="1" applyBorder="1" applyAlignment="1">
      <alignment/>
    </xf>
    <xf numFmtId="169" fontId="6" fillId="2" borderId="12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4" xfId="0" applyFont="1" applyBorder="1" applyAlignment="1">
      <alignment/>
    </xf>
    <xf numFmtId="10" fontId="6" fillId="0" borderId="13" xfId="29" applyNumberFormat="1" applyFont="1" applyBorder="1" applyAlignment="1">
      <alignment/>
    </xf>
    <xf numFmtId="10" fontId="6" fillId="0" borderId="41" xfId="29" applyNumberFormat="1" applyFont="1" applyBorder="1" applyAlignment="1">
      <alignment/>
    </xf>
    <xf numFmtId="10" fontId="6" fillId="0" borderId="44" xfId="29" applyNumberFormat="1" applyFont="1" applyBorder="1" applyAlignment="1">
      <alignment/>
    </xf>
    <xf numFmtId="10" fontId="6" fillId="0" borderId="12" xfId="29" applyNumberFormat="1" applyFont="1" applyBorder="1" applyAlignment="1">
      <alignment/>
    </xf>
    <xf numFmtId="10" fontId="6" fillId="0" borderId="37" xfId="29" applyNumberFormat="1" applyFont="1" applyBorder="1" applyAlignment="1">
      <alignment/>
    </xf>
    <xf numFmtId="10" fontId="6" fillId="0" borderId="35" xfId="29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207" fontId="6" fillId="0" borderId="20" xfId="0" applyNumberFormat="1" applyFont="1" applyFill="1" applyBorder="1" applyAlignment="1">
      <alignment/>
    </xf>
    <xf numFmtId="207" fontId="6" fillId="0" borderId="13" xfId="0" applyNumberFormat="1" applyFont="1" applyFill="1" applyBorder="1" applyAlignment="1">
      <alignment/>
    </xf>
    <xf numFmtId="204" fontId="6" fillId="0" borderId="11" xfId="0" applyNumberFormat="1" applyFont="1" applyFill="1" applyBorder="1" applyAlignment="1">
      <alignment/>
    </xf>
    <xf numFmtId="204" fontId="6" fillId="0" borderId="20" xfId="0" applyNumberFormat="1" applyFont="1" applyFill="1" applyBorder="1" applyAlignment="1">
      <alignment/>
    </xf>
    <xf numFmtId="204" fontId="6" fillId="0" borderId="13" xfId="0" applyNumberFormat="1" applyFont="1" applyFill="1" applyBorder="1" applyAlignment="1">
      <alignment/>
    </xf>
    <xf numFmtId="169" fontId="6" fillId="0" borderId="6" xfId="20" applyNumberFormat="1" applyFont="1" applyFill="1" applyBorder="1" applyAlignment="1">
      <alignment horizontal="right"/>
    </xf>
    <xf numFmtId="169" fontId="6" fillId="0" borderId="23" xfId="20" applyNumberFormat="1" applyFont="1" applyFill="1" applyBorder="1" applyAlignment="1">
      <alignment horizontal="right"/>
    </xf>
    <xf numFmtId="169" fontId="6" fillId="0" borderId="40" xfId="20" applyNumberFormat="1" applyFont="1" applyFill="1" applyBorder="1" applyAlignment="1">
      <alignment horizontal="right"/>
    </xf>
    <xf numFmtId="204" fontId="6" fillId="0" borderId="21" xfId="20" applyNumberFormat="1" applyFont="1" applyFill="1" applyBorder="1" applyAlignment="1">
      <alignment/>
    </xf>
    <xf numFmtId="204" fontId="6" fillId="0" borderId="23" xfId="20" applyNumberFormat="1" applyFont="1" applyFill="1" applyBorder="1" applyAlignment="1">
      <alignment/>
    </xf>
    <xf numFmtId="10" fontId="6" fillId="0" borderId="37" xfId="29" applyNumberFormat="1" applyFont="1" applyFill="1" applyBorder="1" applyAlignment="1">
      <alignment/>
    </xf>
    <xf numFmtId="9" fontId="6" fillId="0" borderId="23" xfId="29" applyNumberFormat="1" applyFont="1" applyFill="1" applyBorder="1" applyAlignment="1">
      <alignment/>
    </xf>
    <xf numFmtId="9" fontId="6" fillId="0" borderId="28" xfId="29" applyNumberFormat="1" applyFont="1" applyFill="1" applyBorder="1" applyAlignment="1">
      <alignment/>
    </xf>
    <xf numFmtId="9" fontId="6" fillId="0" borderId="37" xfId="29" applyNumberFormat="1" applyFont="1" applyFill="1" applyBorder="1" applyAlignment="1">
      <alignment/>
    </xf>
    <xf numFmtId="204" fontId="6" fillId="0" borderId="26" xfId="0" applyNumberFormat="1" applyFont="1" applyFill="1" applyBorder="1" applyAlignment="1">
      <alignment/>
    </xf>
    <xf numFmtId="204" fontId="6" fillId="0" borderId="23" xfId="0" applyNumberFormat="1" applyFont="1" applyFill="1" applyBorder="1" applyAlignment="1">
      <alignment/>
    </xf>
    <xf numFmtId="171" fontId="6" fillId="0" borderId="42" xfId="0" applyNumberFormat="1" applyFont="1" applyFill="1" applyBorder="1" applyAlignment="1">
      <alignment/>
    </xf>
    <xf numFmtId="204" fontId="6" fillId="0" borderId="42" xfId="0" applyNumberFormat="1" applyFont="1" applyFill="1" applyBorder="1" applyAlignment="1">
      <alignment/>
    </xf>
    <xf numFmtId="204" fontId="6" fillId="0" borderId="6" xfId="24" applyNumberFormat="1" applyFont="1" applyFill="1" applyBorder="1" applyAlignment="1">
      <alignment horizontal="right"/>
    </xf>
    <xf numFmtId="204" fontId="6" fillId="0" borderId="12" xfId="24" applyNumberFormat="1" applyFont="1" applyFill="1" applyBorder="1" applyAlignment="1">
      <alignment horizontal="right"/>
    </xf>
    <xf numFmtId="0" fontId="7" fillId="4" borderId="15" xfId="0" applyFont="1" applyFill="1" applyBorder="1" applyAlignment="1">
      <alignment/>
    </xf>
    <xf numFmtId="0" fontId="6" fillId="0" borderId="49" xfId="0" applyFont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0" fontId="7" fillId="0" borderId="11" xfId="0" applyNumberFormat="1" applyFont="1" applyFill="1" applyBorder="1" applyAlignment="1">
      <alignment horizontal="right"/>
    </xf>
    <xf numFmtId="10" fontId="7" fillId="0" borderId="11" xfId="29" applyNumberFormat="1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7" fillId="4" borderId="10" xfId="0" applyFont="1" applyFill="1" applyBorder="1" applyAlignment="1">
      <alignment/>
    </xf>
    <xf numFmtId="0" fontId="6" fillId="4" borderId="12" xfId="0" applyFont="1" applyFill="1" applyBorder="1" applyAlignment="1">
      <alignment horizontal="right"/>
    </xf>
    <xf numFmtId="10" fontId="7" fillId="4" borderId="12" xfId="29" applyNumberFormat="1" applyFont="1" applyFill="1" applyBorder="1" applyAlignment="1">
      <alignment horizontal="right"/>
    </xf>
    <xf numFmtId="10" fontId="7" fillId="4" borderId="31" xfId="29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0" fontId="6" fillId="0" borderId="15" xfId="29" applyNumberFormat="1" applyFont="1" applyBorder="1" applyAlignment="1">
      <alignment horizontal="right"/>
    </xf>
    <xf numFmtId="169" fontId="6" fillId="6" borderId="16" xfId="2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26" applyNumberFormat="1" applyFont="1" applyFill="1" applyBorder="1" applyAlignment="1">
      <alignment/>
    </xf>
    <xf numFmtId="180" fontId="6" fillId="0" borderId="0" xfId="26" applyNumberFormat="1" applyFont="1" applyFill="1" applyBorder="1" applyAlignment="1">
      <alignment/>
    </xf>
    <xf numFmtId="10" fontId="6" fillId="0" borderId="0" xfId="29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9" fillId="2" borderId="46" xfId="0" applyFont="1" applyFill="1" applyBorder="1" applyAlignment="1">
      <alignment/>
    </xf>
    <xf numFmtId="10" fontId="6" fillId="2" borderId="58" xfId="29" applyNumberFormat="1" applyFont="1" applyFill="1" applyBorder="1" applyAlignment="1">
      <alignment/>
    </xf>
    <xf numFmtId="180" fontId="6" fillId="5" borderId="58" xfId="26" applyNumberFormat="1" applyFont="1" applyFill="1" applyBorder="1" applyAlignment="1">
      <alignment/>
    </xf>
    <xf numFmtId="10" fontId="6" fillId="2" borderId="58" xfId="0" applyNumberFormat="1" applyFont="1" applyFill="1" applyBorder="1" applyAlignment="1">
      <alignment/>
    </xf>
    <xf numFmtId="10" fontId="6" fillId="2" borderId="59" xfId="29" applyNumberFormat="1" applyFont="1" applyFill="1" applyBorder="1" applyAlignment="1">
      <alignment/>
    </xf>
    <xf numFmtId="10" fontId="11" fillId="3" borderId="60" xfId="0" applyNumberFormat="1" applyFont="1" applyFill="1" applyBorder="1" applyAlignment="1">
      <alignment/>
    </xf>
    <xf numFmtId="209" fontId="6" fillId="0" borderId="27" xfId="0" applyNumberFormat="1" applyFont="1" applyFill="1" applyBorder="1" applyAlignment="1">
      <alignment/>
    </xf>
    <xf numFmtId="169" fontId="6" fillId="6" borderId="27" xfId="25" applyNumberFormat="1" applyFont="1" applyFill="1" applyBorder="1" applyAlignment="1">
      <alignment/>
    </xf>
    <xf numFmtId="169" fontId="6" fillId="6" borderId="1" xfId="25" applyNumberFormat="1" applyFont="1" applyFill="1" applyBorder="1" applyAlignment="1">
      <alignment/>
    </xf>
    <xf numFmtId="169" fontId="6" fillId="6" borderId="54" xfId="25" applyNumberFormat="1" applyFont="1" applyFill="1" applyBorder="1" applyAlignment="1">
      <alignment/>
    </xf>
    <xf numFmtId="169" fontId="6" fillId="6" borderId="6" xfId="25" applyNumberFormat="1" applyFont="1" applyFill="1" applyBorder="1" applyAlignment="1">
      <alignment/>
    </xf>
    <xf numFmtId="169" fontId="6" fillId="6" borderId="2" xfId="25" applyNumberFormat="1" applyFont="1" applyFill="1" applyBorder="1" applyAlignment="1">
      <alignment/>
    </xf>
    <xf numFmtId="169" fontId="6" fillId="6" borderId="55" xfId="25" applyNumberFormat="1" applyFont="1" applyFill="1" applyBorder="1" applyAlignment="1">
      <alignment/>
    </xf>
    <xf numFmtId="169" fontId="6" fillId="6" borderId="6" xfId="25" applyNumberFormat="1" applyFont="1" applyFill="1" applyBorder="1" applyAlignment="1">
      <alignment horizontal="right"/>
    </xf>
    <xf numFmtId="169" fontId="6" fillId="6" borderId="29" xfId="25" applyNumberFormat="1" applyFont="1" applyFill="1" applyBorder="1" applyAlignment="1">
      <alignment/>
    </xf>
    <xf numFmtId="169" fontId="6" fillId="6" borderId="3" xfId="25" applyNumberFormat="1" applyFont="1" applyFill="1" applyBorder="1" applyAlignment="1">
      <alignment/>
    </xf>
    <xf numFmtId="169" fontId="6" fillId="6" borderId="56" xfId="25" applyNumberFormat="1" applyFont="1" applyFill="1" applyBorder="1" applyAlignment="1">
      <alignment/>
    </xf>
    <xf numFmtId="169" fontId="7" fillId="6" borderId="13" xfId="23" applyNumberFormat="1" applyFont="1" applyFill="1" applyBorder="1" applyAlignment="1">
      <alignment/>
    </xf>
    <xf numFmtId="169" fontId="7" fillId="6" borderId="4" xfId="23" applyNumberFormat="1" applyFont="1" applyFill="1" applyBorder="1" applyAlignment="1">
      <alignment/>
    </xf>
    <xf numFmtId="169" fontId="7" fillId="6" borderId="57" xfId="23" applyNumberFormat="1" applyFont="1" applyFill="1" applyBorder="1" applyAlignment="1">
      <alignment/>
    </xf>
    <xf numFmtId="169" fontId="6" fillId="6" borderId="7" xfId="25" applyNumberFormat="1" applyFont="1" applyFill="1" applyBorder="1" applyAlignment="1">
      <alignment/>
    </xf>
    <xf numFmtId="169" fontId="6" fillId="6" borderId="21" xfId="25" applyNumberFormat="1" applyFont="1" applyFill="1" applyBorder="1" applyAlignment="1">
      <alignment/>
    </xf>
    <xf numFmtId="169" fontId="10" fillId="6" borderId="2" xfId="25" applyNumberFormat="1" applyFont="1" applyFill="1" applyBorder="1" applyAlignment="1">
      <alignment/>
    </xf>
    <xf numFmtId="169" fontId="10" fillId="6" borderId="23" xfId="25" applyNumberFormat="1" applyFont="1" applyFill="1" applyBorder="1" applyAlignment="1">
      <alignment/>
    </xf>
    <xf numFmtId="169" fontId="10" fillId="6" borderId="8" xfId="25" applyNumberFormat="1" applyFont="1" applyFill="1" applyBorder="1" applyAlignment="1">
      <alignment/>
    </xf>
    <xf numFmtId="169" fontId="10" fillId="6" borderId="36" xfId="25" applyNumberFormat="1" applyFont="1" applyFill="1" applyBorder="1" applyAlignment="1">
      <alignment/>
    </xf>
    <xf numFmtId="169" fontId="6" fillId="6" borderId="4" xfId="25" applyNumberFormat="1" applyFont="1" applyFill="1" applyBorder="1" applyAlignment="1">
      <alignment/>
    </xf>
    <xf numFmtId="169" fontId="6" fillId="6" borderId="41" xfId="25" applyNumberFormat="1" applyFont="1" applyFill="1" applyBorder="1" applyAlignment="1">
      <alignment/>
    </xf>
    <xf numFmtId="169" fontId="6" fillId="6" borderId="8" xfId="25" applyNumberFormat="1" applyFont="1" applyFill="1" applyBorder="1" applyAlignment="1">
      <alignment/>
    </xf>
    <xf numFmtId="169" fontId="6" fillId="6" borderId="36" xfId="25" applyNumberFormat="1" applyFont="1" applyFill="1" applyBorder="1" applyAlignment="1">
      <alignment/>
    </xf>
    <xf numFmtId="169" fontId="6" fillId="6" borderId="9" xfId="25" applyNumberFormat="1" applyFont="1" applyFill="1" applyBorder="1" applyAlignment="1">
      <alignment/>
    </xf>
    <xf numFmtId="169" fontId="6" fillId="6" borderId="23" xfId="25" applyNumberFormat="1" applyFont="1" applyFill="1" applyBorder="1" applyAlignment="1">
      <alignment/>
    </xf>
    <xf numFmtId="169" fontId="6" fillId="6" borderId="10" xfId="0" applyNumberFormat="1" applyFont="1" applyFill="1" applyBorder="1" applyAlignment="1">
      <alignment/>
    </xf>
    <xf numFmtId="169" fontId="6" fillId="6" borderId="37" xfId="0" applyNumberFormat="1" applyFont="1" applyFill="1" applyBorder="1" applyAlignment="1">
      <alignment/>
    </xf>
    <xf numFmtId="169" fontId="6" fillId="0" borderId="16" xfId="25" applyNumberFormat="1" applyFont="1" applyFill="1" applyBorder="1" applyAlignment="1">
      <alignment/>
    </xf>
    <xf numFmtId="169" fontId="6" fillId="0" borderId="0" xfId="25" applyNumberFormat="1" applyFont="1" applyFill="1" applyBorder="1" applyAlignment="1">
      <alignment/>
    </xf>
    <xf numFmtId="169" fontId="6" fillId="0" borderId="50" xfId="25" applyNumberFormat="1" applyFont="1" applyFill="1" applyBorder="1" applyAlignment="1">
      <alignment/>
    </xf>
    <xf numFmtId="169" fontId="6" fillId="0" borderId="33" xfId="0" applyNumberFormat="1" applyFont="1" applyFill="1" applyBorder="1" applyAlignment="1">
      <alignment/>
    </xf>
    <xf numFmtId="169" fontId="6" fillId="6" borderId="15" xfId="22" applyNumberFormat="1" applyFont="1" applyFill="1" applyBorder="1" applyAlignment="1">
      <alignment horizontal="right"/>
    </xf>
    <xf numFmtId="169" fontId="6" fillId="6" borderId="16" xfId="22" applyNumberFormat="1" applyFont="1" applyFill="1" applyBorder="1" applyAlignment="1">
      <alignment horizontal="right"/>
    </xf>
    <xf numFmtId="169" fontId="6" fillId="6" borderId="27" xfId="22" applyNumberFormat="1" applyFont="1" applyFill="1" applyBorder="1" applyAlignment="1">
      <alignment/>
    </xf>
    <xf numFmtId="169" fontId="6" fillId="6" borderId="28" xfId="22" applyNumberFormat="1" applyFont="1" applyFill="1" applyBorder="1" applyAlignment="1">
      <alignment/>
    </xf>
    <xf numFmtId="169" fontId="6" fillId="6" borderId="6" xfId="22" applyNumberFormat="1" applyFont="1" applyFill="1" applyBorder="1" applyAlignment="1">
      <alignment/>
    </xf>
    <xf numFmtId="169" fontId="6" fillId="6" borderId="23" xfId="22" applyNumberFormat="1" applyFont="1" applyFill="1" applyBorder="1" applyAlignment="1">
      <alignment/>
    </xf>
    <xf numFmtId="169" fontId="7" fillId="6" borderId="13" xfId="22" applyNumberFormat="1" applyFont="1" applyFill="1" applyBorder="1" applyAlignment="1">
      <alignment/>
    </xf>
    <xf numFmtId="169" fontId="7" fillId="6" borderId="41" xfId="22" applyNumberFormat="1" applyFont="1" applyFill="1" applyBorder="1" applyAlignment="1">
      <alignment/>
    </xf>
    <xf numFmtId="169" fontId="10" fillId="6" borderId="6" xfId="0" applyNumberFormat="1" applyFont="1" applyFill="1" applyBorder="1" applyAlignment="1">
      <alignment/>
    </xf>
    <xf numFmtId="169" fontId="10" fillId="6" borderId="23" xfId="0" applyNumberFormat="1" applyFont="1" applyFill="1" applyBorder="1" applyAlignment="1">
      <alignment/>
    </xf>
    <xf numFmtId="169" fontId="6" fillId="6" borderId="6" xfId="0" applyNumberFormat="1" applyFont="1" applyFill="1" applyBorder="1" applyAlignment="1">
      <alignment/>
    </xf>
    <xf numFmtId="169" fontId="6" fillId="6" borderId="23" xfId="0" applyNumberFormat="1" applyFont="1" applyFill="1" applyBorder="1" applyAlignment="1">
      <alignment/>
    </xf>
    <xf numFmtId="169" fontId="6" fillId="6" borderId="29" xfId="0" applyNumberFormat="1" applyFont="1" applyFill="1" applyBorder="1" applyAlignment="1">
      <alignment/>
    </xf>
    <xf numFmtId="169" fontId="6" fillId="6" borderId="42" xfId="0" applyNumberFormat="1" applyFont="1" applyFill="1" applyBorder="1" applyAlignment="1">
      <alignment/>
    </xf>
    <xf numFmtId="169" fontId="10" fillId="6" borderId="29" xfId="0" applyNumberFormat="1" applyFont="1" applyFill="1" applyBorder="1" applyAlignment="1">
      <alignment/>
    </xf>
    <xf numFmtId="169" fontId="10" fillId="6" borderId="42" xfId="0" applyNumberFormat="1" applyFont="1" applyFill="1" applyBorder="1" applyAlignment="1">
      <alignment/>
    </xf>
    <xf numFmtId="169" fontId="7" fillId="6" borderId="13" xfId="0" applyNumberFormat="1" applyFont="1" applyFill="1" applyBorder="1" applyAlignment="1">
      <alignment/>
    </xf>
    <xf numFmtId="169" fontId="7" fillId="6" borderId="41" xfId="0" applyNumberFormat="1" applyFont="1" applyFill="1" applyBorder="1" applyAlignment="1">
      <alignment/>
    </xf>
    <xf numFmtId="169" fontId="6" fillId="6" borderId="5" xfId="0" applyNumberFormat="1" applyFont="1" applyFill="1" applyBorder="1" applyAlignment="1">
      <alignment/>
    </xf>
    <xf numFmtId="169" fontId="6" fillId="6" borderId="26" xfId="0" applyNumberFormat="1" applyFont="1" applyFill="1" applyBorder="1" applyAlignment="1">
      <alignment/>
    </xf>
    <xf numFmtId="169" fontId="6" fillId="6" borderId="20" xfId="0" applyNumberFormat="1" applyFont="1" applyFill="1" applyBorder="1" applyAlignment="1">
      <alignment/>
    </xf>
    <xf numFmtId="169" fontId="6" fillId="6" borderId="36" xfId="0" applyNumberFormat="1" applyFont="1" applyFill="1" applyBorder="1" applyAlignment="1">
      <alignment/>
    </xf>
    <xf numFmtId="169" fontId="6" fillId="6" borderId="14" xfId="0" applyNumberFormat="1" applyFont="1" applyFill="1" applyBorder="1" applyAlignment="1">
      <alignment/>
    </xf>
    <xf numFmtId="169" fontId="6" fillId="6" borderId="5" xfId="0" applyNumberFormat="1" applyFont="1" applyFill="1" applyBorder="1" applyAlignment="1">
      <alignment/>
    </xf>
    <xf numFmtId="169" fontId="6" fillId="6" borderId="49" xfId="0" applyNumberFormat="1" applyFont="1" applyFill="1" applyBorder="1" applyAlignment="1">
      <alignment/>
    </xf>
    <xf numFmtId="169" fontId="6" fillId="6" borderId="26" xfId="0" applyNumberFormat="1" applyFont="1" applyFill="1" applyBorder="1" applyAlignment="1">
      <alignment/>
    </xf>
    <xf numFmtId="169" fontId="6" fillId="6" borderId="2" xfId="0" applyNumberFormat="1" applyFont="1" applyFill="1" applyBorder="1" applyAlignment="1">
      <alignment/>
    </xf>
    <xf numFmtId="169" fontId="6" fillId="6" borderId="6" xfId="0" applyNumberFormat="1" applyFont="1" applyFill="1" applyBorder="1" applyAlignment="1">
      <alignment/>
    </xf>
    <xf numFmtId="169" fontId="6" fillId="6" borderId="50" xfId="0" applyNumberFormat="1" applyFont="1" applyFill="1" applyBorder="1" applyAlignment="1">
      <alignment/>
    </xf>
    <xf numFmtId="169" fontId="6" fillId="6" borderId="23" xfId="0" applyNumberFormat="1" applyFont="1" applyFill="1" applyBorder="1" applyAlignment="1">
      <alignment/>
    </xf>
    <xf numFmtId="169" fontId="6" fillId="6" borderId="4" xfId="0" applyNumberFormat="1" applyFont="1" applyFill="1" applyBorder="1" applyAlignment="1">
      <alignment/>
    </xf>
    <xf numFmtId="169" fontId="6" fillId="6" borderId="13" xfId="0" applyNumberFormat="1" applyFont="1" applyFill="1" applyBorder="1" applyAlignment="1">
      <alignment/>
    </xf>
    <xf numFmtId="169" fontId="6" fillId="6" borderId="51" xfId="0" applyNumberFormat="1" applyFont="1" applyFill="1" applyBorder="1" applyAlignment="1">
      <alignment/>
    </xf>
    <xf numFmtId="169" fontId="6" fillId="6" borderId="41" xfId="0" applyNumberFormat="1" applyFont="1" applyFill="1" applyBorder="1" applyAlignment="1">
      <alignment/>
    </xf>
    <xf numFmtId="169" fontId="7" fillId="6" borderId="7" xfId="0" applyNumberFormat="1" applyFont="1" applyFill="1" applyBorder="1" applyAlignment="1">
      <alignment/>
    </xf>
    <xf numFmtId="169" fontId="7" fillId="6" borderId="11" xfId="0" applyNumberFormat="1" applyFont="1" applyFill="1" applyBorder="1" applyAlignment="1">
      <alignment/>
    </xf>
    <xf numFmtId="169" fontId="7" fillId="6" borderId="25" xfId="0" applyNumberFormat="1" applyFont="1" applyFill="1" applyBorder="1" applyAlignment="1">
      <alignment/>
    </xf>
    <xf numFmtId="169" fontId="7" fillId="6" borderId="21" xfId="0" applyNumberFormat="1" applyFont="1" applyFill="1" applyBorder="1" applyAlignment="1">
      <alignment/>
    </xf>
    <xf numFmtId="169" fontId="6" fillId="6" borderId="11" xfId="0" applyNumberFormat="1" applyFont="1" applyFill="1" applyBorder="1" applyAlignment="1">
      <alignment/>
    </xf>
    <xf numFmtId="169" fontId="6" fillId="6" borderId="25" xfId="0" applyNumberFormat="1" applyFont="1" applyFill="1" applyBorder="1" applyAlignment="1">
      <alignment/>
    </xf>
    <xf numFmtId="169" fontId="6" fillId="6" borderId="21" xfId="0" applyNumberFormat="1" applyFont="1" applyFill="1" applyBorder="1" applyAlignment="1">
      <alignment/>
    </xf>
    <xf numFmtId="169" fontId="6" fillId="6" borderId="12" xfId="0" applyNumberFormat="1" applyFont="1" applyFill="1" applyBorder="1" applyAlignment="1">
      <alignment/>
    </xf>
    <xf numFmtId="169" fontId="6" fillId="6" borderId="33" xfId="0" applyNumberFormat="1" applyFont="1" applyFill="1" applyBorder="1" applyAlignment="1">
      <alignment/>
    </xf>
    <xf numFmtId="169" fontId="6" fillId="6" borderId="37" xfId="0" applyNumberFormat="1" applyFont="1" applyFill="1" applyBorder="1" applyAlignment="1">
      <alignment/>
    </xf>
    <xf numFmtId="169" fontId="7" fillId="6" borderId="12" xfId="0" applyNumberFormat="1" applyFont="1" applyFill="1" applyBorder="1" applyAlignment="1">
      <alignment/>
    </xf>
    <xf numFmtId="169" fontId="7" fillId="6" borderId="10" xfId="0" applyNumberFormat="1" applyFont="1" applyFill="1" applyBorder="1" applyAlignment="1">
      <alignment/>
    </xf>
    <xf numFmtId="169" fontId="7" fillId="6" borderId="33" xfId="0" applyNumberFormat="1" applyFont="1" applyFill="1" applyBorder="1" applyAlignment="1">
      <alignment/>
    </xf>
    <xf numFmtId="169" fontId="7" fillId="6" borderId="37" xfId="0" applyNumberFormat="1" applyFont="1" applyFill="1" applyBorder="1" applyAlignment="1">
      <alignment/>
    </xf>
    <xf numFmtId="169" fontId="6" fillId="6" borderId="27" xfId="0" applyNumberFormat="1" applyFont="1" applyFill="1" applyBorder="1" applyAlignment="1">
      <alignment/>
    </xf>
    <xf numFmtId="169" fontId="6" fillId="6" borderId="28" xfId="0" applyNumberFormat="1" applyFont="1" applyFill="1" applyBorder="1" applyAlignment="1">
      <alignment/>
    </xf>
    <xf numFmtId="169" fontId="6" fillId="6" borderId="13" xfId="0" applyNumberFormat="1" applyFont="1" applyFill="1" applyBorder="1" applyAlignment="1">
      <alignment/>
    </xf>
    <xf numFmtId="169" fontId="6" fillId="6" borderId="41" xfId="0" applyNumberFormat="1" applyFont="1" applyFill="1" applyBorder="1" applyAlignment="1">
      <alignment/>
    </xf>
    <xf numFmtId="169" fontId="6" fillId="6" borderId="12" xfId="0" applyNumberFormat="1" applyFont="1" applyFill="1" applyBorder="1" applyAlignment="1">
      <alignment/>
    </xf>
    <xf numFmtId="169" fontId="6" fillId="6" borderId="16" xfId="0" applyNumberFormat="1" applyFont="1" applyFill="1" applyBorder="1" applyAlignment="1">
      <alignment/>
    </xf>
    <xf numFmtId="169" fontId="6" fillId="6" borderId="15" xfId="0" applyNumberFormat="1" applyFont="1" applyFill="1" applyBorder="1" applyAlignment="1">
      <alignment/>
    </xf>
    <xf numFmtId="169" fontId="6" fillId="6" borderId="27" xfId="19" applyNumberFormat="1" applyFont="1" applyFill="1" applyBorder="1" applyAlignment="1">
      <alignment/>
    </xf>
    <xf numFmtId="169" fontId="6" fillId="6" borderId="28" xfId="19" applyNumberFormat="1" applyFont="1" applyFill="1" applyBorder="1" applyAlignment="1">
      <alignment/>
    </xf>
    <xf numFmtId="169" fontId="6" fillId="6" borderId="23" xfId="19" applyNumberFormat="1" applyFont="1" applyFill="1" applyBorder="1" applyAlignment="1">
      <alignment/>
    </xf>
    <xf numFmtId="169" fontId="6" fillId="6" borderId="20" xfId="19" applyNumberFormat="1" applyFont="1" applyFill="1" applyBorder="1" applyAlignment="1">
      <alignment/>
    </xf>
    <xf numFmtId="169" fontId="6" fillId="6" borderId="37" xfId="19" applyNumberFormat="1" applyFont="1" applyFill="1" applyBorder="1" applyAlignment="1">
      <alignment/>
    </xf>
    <xf numFmtId="169" fontId="6" fillId="6" borderId="5" xfId="19" applyNumberFormat="1" applyFont="1" applyFill="1" applyBorder="1" applyAlignment="1">
      <alignment/>
    </xf>
    <xf numFmtId="169" fontId="6" fillId="6" borderId="26" xfId="19" applyNumberFormat="1" applyFont="1" applyFill="1" applyBorder="1" applyAlignment="1">
      <alignment/>
    </xf>
    <xf numFmtId="169" fontId="6" fillId="6" borderId="6" xfId="19" applyNumberFormat="1" applyFont="1" applyFill="1" applyBorder="1" applyAlignment="1">
      <alignment/>
    </xf>
    <xf numFmtId="169" fontId="7" fillId="6" borderId="13" xfId="19" applyNumberFormat="1" applyFont="1" applyFill="1" applyBorder="1" applyAlignment="1">
      <alignment/>
    </xf>
    <xf numFmtId="169" fontId="7" fillId="6" borderId="41" xfId="19" applyNumberFormat="1" applyFont="1" applyFill="1" applyBorder="1" applyAlignment="1">
      <alignment/>
    </xf>
    <xf numFmtId="169" fontId="6" fillId="6" borderId="41" xfId="19" applyNumberFormat="1" applyFont="1" applyFill="1" applyBorder="1" applyAlignment="1">
      <alignment/>
    </xf>
    <xf numFmtId="169" fontId="6" fillId="6" borderId="58" xfId="26" applyNumberFormat="1" applyFont="1" applyFill="1" applyBorder="1" applyAlignment="1">
      <alignment/>
    </xf>
    <xf numFmtId="180" fontId="6" fillId="6" borderId="58" xfId="26" applyNumberFormat="1" applyFont="1" applyFill="1" applyBorder="1" applyAlignment="1">
      <alignment/>
    </xf>
    <xf numFmtId="0" fontId="4" fillId="0" borderId="0" xfId="0" applyFont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Dezimal_Capital Input Data" xfId="19"/>
    <cellStyle name="Dezimal_Capital stock" xfId="20"/>
    <cellStyle name="Dezimal_Cost of Capital" xfId="21"/>
    <cellStyle name="Dezimal_Labor Q&amp;P" xfId="22"/>
    <cellStyle name="Dezimal_Outputs" xfId="23"/>
    <cellStyle name="Dezimal_Price Indices" xfId="24"/>
    <cellStyle name="Dezimal_Sheet1" xfId="25"/>
    <cellStyle name="Dezimal_X&amp;Z Factor" xfId="26"/>
    <cellStyle name="Followed Hyperlink" xfId="27"/>
    <cellStyle name="Hyperlink" xfId="28"/>
    <cellStyle name="Percent" xfId="29"/>
    <cellStyle name="Standard_DataRequirements_V3.9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00CCFF"/>
      <rgbColor rgb="0000337F"/>
      <rgbColor rgb="00FFAA1F"/>
      <rgbColor rgb="006685B3"/>
      <rgbColor rgb="004F4F4F"/>
      <rgbColor rgb="00E6E6E6"/>
      <rgbColor rgb="00000000"/>
      <rgbColor rgb="00C3CF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Fig.7. Rata de creştere a rezultatelor (outputurilor)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(indice cu baza în lanţ)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7375"/>
          <c:w val="0.9325"/>
          <c:h val="0.54075"/>
        </c:manualLayout>
      </c:layout>
      <c:lineChart>
        <c:grouping val="standard"/>
        <c:varyColors val="0"/>
        <c:ser>
          <c:idx val="0"/>
          <c:order val="0"/>
          <c:tx>
            <c:v>Rata de creştere a rezultatelor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Outputs!$D$3:$I$3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Outputs!$D$82:$I$82</c:f>
              <c:numCache>
                <c:ptCount val="6"/>
                <c:pt idx="0">
                  <c:v>-2.6022771609814885</c:v>
                </c:pt>
                <c:pt idx="1">
                  <c:v>0.11479355424709997</c:v>
                </c:pt>
                <c:pt idx="2">
                  <c:v>0.4957865451741726</c:v>
                </c:pt>
                <c:pt idx="3">
                  <c:v>-0.360628199558128</c:v>
                </c:pt>
                <c:pt idx="4">
                  <c:v>0.8559626932997134</c:v>
                </c:pt>
                <c:pt idx="5">
                  <c:v>3.763576788006783</c:v>
                </c:pt>
              </c:numCache>
            </c:numRef>
          </c:val>
          <c:smooth val="0"/>
        </c:ser>
        <c:axId val="28652365"/>
        <c:axId val="56544694"/>
      </c:line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65236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775"/>
          <c:w val="0.854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Fig.9. Factorul X&amp; factorul Z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1125"/>
          <c:w val="0.939"/>
          <c:h val="0.614"/>
        </c:manualLayout>
      </c:layout>
      <c:lineChart>
        <c:grouping val="standard"/>
        <c:varyColors val="0"/>
        <c:ser>
          <c:idx val="0"/>
          <c:order val="0"/>
          <c:tx>
            <c:v>Factorul X</c:v>
          </c:tx>
          <c:spPr>
            <a:ln w="38100">
              <a:solidFill>
                <a:srgbClr val="6685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'X&amp;Z Factor'!$D$27:$I$27</c:f>
              <c:numCache>
                <c:ptCount val="6"/>
                <c:pt idx="0">
                  <c:v>-2.935890011360193</c:v>
                </c:pt>
                <c:pt idx="1">
                  <c:v>0.02782715517394888</c:v>
                </c:pt>
                <c:pt idx="2">
                  <c:v>1.247932247572641</c:v>
                </c:pt>
                <c:pt idx="3">
                  <c:v>-0.4459940554701257</c:v>
                </c:pt>
                <c:pt idx="4">
                  <c:v>1.366858896104234</c:v>
                </c:pt>
                <c:pt idx="5">
                  <c:v>3.0526018857900836</c:v>
                </c:pt>
              </c:numCache>
            </c:numRef>
          </c:val>
          <c:smooth val="0"/>
        </c:ser>
        <c:ser>
          <c:idx val="1"/>
          <c:order val="1"/>
          <c:tx>
            <c:v>Factorul Z</c:v>
          </c:tx>
          <c:spPr>
            <a:ln w="38100">
              <a:solidFill>
                <a:srgbClr val="4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'X&amp;Z Factor'!$D$43:$I$43</c:f>
              <c:numCache>
                <c:ptCount val="6"/>
                <c:pt idx="0">
                  <c:v>0.04077548102184131</c:v>
                </c:pt>
                <c:pt idx="1">
                  <c:v>0.23831746834915374</c:v>
                </c:pt>
                <c:pt idx="2">
                  <c:v>0.14097788580165976</c:v>
                </c:pt>
                <c:pt idx="3">
                  <c:v>0.0759421635701526</c:v>
                </c:pt>
                <c:pt idx="4">
                  <c:v>-1.2880378388671212</c:v>
                </c:pt>
                <c:pt idx="5">
                  <c:v>1.4110930227542027</c:v>
                </c:pt>
              </c:numCache>
            </c:numRef>
          </c:val>
          <c:smooth val="0"/>
        </c:ser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02706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52"/>
          <c:w val="0.85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Missing EBITDA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425"/>
          <c:w val="0.9445"/>
          <c:h val="0.65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'Cost of Capital'!$C$3:$I$3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'Cost of Capital'!$C$47:$I$47</c:f>
              <c:numCache>
                <c:ptCount val="7"/>
                <c:pt idx="0">
                  <c:v>402521.98</c:v>
                </c:pt>
                <c:pt idx="1">
                  <c:v>-714103.8151138523</c:v>
                </c:pt>
                <c:pt idx="2">
                  <c:v>-56343.551604550725</c:v>
                </c:pt>
                <c:pt idx="3">
                  <c:v>-291959.3256591114</c:v>
                </c:pt>
                <c:pt idx="4">
                  <c:v>-364365.4962985818</c:v>
                </c:pt>
                <c:pt idx="5">
                  <c:v>-320072.7314808197</c:v>
                </c:pt>
                <c:pt idx="6">
                  <c:v>-369887.7563879655</c:v>
                </c:pt>
              </c:numCache>
            </c:numRef>
          </c:val>
          <c:smooth val="0"/>
        </c:ser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599601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75"/>
          <c:w val="0.96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Outputs!$B$82</c:f>
              <c:strCache>
                <c:ptCount val="1"/>
                <c:pt idx="0">
                  <c:v>Output Growth Rate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Outputs!$J$3:$O$3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Outputs!$J$82:$O$82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7273803"/>
        <c:axId val="65464228"/>
      </c:line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2738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91575"/>
          <c:w val="0.8482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75"/>
          <c:w val="0.96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'Labor Q&amp;P'!$B$17</c:f>
              <c:strCache>
                <c:ptCount val="1"/>
                <c:pt idx="0">
                  <c:v>Labor Input Growth Rate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'Labor Q&amp;P'!$J$3:$O$3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'Labor Q&amp;P'!$J$17:$O$17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30714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"/>
          <c:y val="0.91575"/>
          <c:w val="0.838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75"/>
          <c:w val="0.961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Materials!$B$76</c:f>
              <c:strCache>
                <c:ptCount val="1"/>
                <c:pt idx="0">
                  <c:v>Materials Quantity Growth Rate 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Materials!$J$3:$O$3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Materials!$J$76:$O$76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9019999"/>
        <c:axId val="14071128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01999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75"/>
          <c:y val="0.91575"/>
          <c:w val="0.846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"/>
          <c:w val="0.960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'Capital stock'!$B$59</c:f>
              <c:strCache>
                <c:ptCount val="1"/>
                <c:pt idx="0">
                  <c:v>Capital Input Growth Rate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'Capital stock'!$J$3:$O$3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'Capital stock'!$J$59:$O$59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9531289"/>
        <c:axId val="66019554"/>
      </c:line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53128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16"/>
          <c:w val="0.84475"/>
          <c:h val="0.06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"/>
          <c:w val="0.960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'Cost of Capital'!$B$22</c:f>
              <c:strCache>
                <c:ptCount val="1"/>
                <c:pt idx="0">
                  <c:v>Realized Rate of Return on Equity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'Cost of Capital'!$J$3:$O$3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'Cost of Capital'!$J$22:$O$22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7305075"/>
        <c:axId val="45983628"/>
      </c:line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3050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16"/>
          <c:w val="0.8425"/>
          <c:h val="0.06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Realized Return on Investment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075"/>
          <c:w val="0.9617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'Cost of Capital'!$B$32</c:f>
              <c:strCache>
                <c:ptCount val="1"/>
                <c:pt idx="0">
                  <c:v>Realized return on Investment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'Cost of Capital'!$J$3:$O$3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'Cost of Capital'!$J$32:$O$32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19946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5"/>
          <c:y val="0.91625"/>
          <c:w val="0.84725"/>
          <c:h val="0.0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6025"/>
          <c:w val="0.961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'X&amp;Z Factor'!$B$20</c:f>
              <c:strCache>
                <c:ptCount val="1"/>
                <c:pt idx="0">
                  <c:v>Input Growth Rate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'X&amp;Z Factor'!$J$20:$O$20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7417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"/>
          <c:y val="0.91675"/>
          <c:w val="0.85175"/>
          <c:h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TFP Growth Rate RT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025"/>
          <c:w val="0.961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'X&amp;Z Factor'!$B$22</c:f>
              <c:strCache>
                <c:ptCount val="1"/>
                <c:pt idx="0">
                  <c:v>TFP Growth Rate 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'X&amp;Z Factor'!$J$26:$O$26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6197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"/>
          <c:y val="0.917"/>
          <c:w val="0.85375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Fig.3. Rata de creşere a forţei de muncă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(indice cu baza în lanţ)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35"/>
          <c:w val="0.9385"/>
          <c:h val="0.59075"/>
        </c:manualLayout>
      </c:layout>
      <c:lineChart>
        <c:grouping val="standard"/>
        <c:varyColors val="0"/>
        <c:ser>
          <c:idx val="0"/>
          <c:order val="0"/>
          <c:tx>
            <c:v>Rata de creştere a forţei de muncă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'Labor Q&amp;P'!$D$3:$I$3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'Labor Q&amp;P'!$D$17:$I$17</c:f>
              <c:numCache>
                <c:ptCount val="6"/>
                <c:pt idx="0">
                  <c:v>0.29565024210095786</c:v>
                </c:pt>
                <c:pt idx="1">
                  <c:v>0.75935840908502</c:v>
                </c:pt>
                <c:pt idx="2">
                  <c:v>0.23035979134395237</c:v>
                </c:pt>
                <c:pt idx="3">
                  <c:v>-1.2774002728807532</c:v>
                </c:pt>
                <c:pt idx="4">
                  <c:v>-0.6773988235918061</c:v>
                </c:pt>
                <c:pt idx="5">
                  <c:v>1.3823804617987543</c:v>
                </c:pt>
              </c:numCache>
            </c:numRef>
          </c:val>
          <c:smooth val="0"/>
        </c:ser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14019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535"/>
          <c:w val="0.85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6025"/>
          <c:w val="0.961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'X&amp;Z Factor'!$B$8</c:f>
              <c:strCache>
                <c:ptCount val="1"/>
                <c:pt idx="0">
                  <c:v>Excess/Missing Revenues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'X&amp;Z Factor'!$J$8:$O$8</c:f>
              <c:numCache>
                <c:ptCount val="6"/>
              </c:numCache>
            </c:numRef>
          </c:val>
          <c:smooth val="0"/>
        </c:ser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03196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"/>
          <c:y val="0.91675"/>
          <c:w val="0.8495"/>
          <c:h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X&amp;Z Factor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025"/>
          <c:w val="0.962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'X&amp;Z Factor'!$B$27</c:f>
              <c:strCache>
                <c:ptCount val="1"/>
                <c:pt idx="0">
                  <c:v>X-Factor</c:v>
                </c:pt>
              </c:strCache>
            </c:strRef>
          </c:tx>
          <c:spPr>
            <a:ln w="38100">
              <a:solidFill>
                <a:srgbClr val="6685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'X&amp;Z Factor'!$J$27:$O$27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'X&amp;Z Factor'!$A$43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4F4F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Factor'!$J$3:$O$3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'X&amp;Z Factor'!$J$43:$O$43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74724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917"/>
          <c:w val="0.84775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Fig.4. Rata de creştere a consumului de materiale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(indice cu baza în lanţ)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225"/>
          <c:w val="0.944"/>
          <c:h val="0.61675"/>
        </c:manualLayout>
      </c:layout>
      <c:lineChart>
        <c:grouping val="standard"/>
        <c:varyColors val="0"/>
        <c:ser>
          <c:idx val="0"/>
          <c:order val="0"/>
          <c:tx>
            <c:v>Rata de creştere a consumului de materiale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Materials!$D$3:$I$3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Materials!$D$76:$I$76</c:f>
              <c:numCache>
                <c:ptCount val="6"/>
                <c:pt idx="0">
                  <c:v>0.39874723434034887</c:v>
                </c:pt>
                <c:pt idx="1">
                  <c:v>0.017967392282673276</c:v>
                </c:pt>
                <c:pt idx="2">
                  <c:v>-1.6705761042139426</c:v>
                </c:pt>
                <c:pt idx="3">
                  <c:v>0.6283277611647168</c:v>
                </c:pt>
                <c:pt idx="4">
                  <c:v>-0.5804260403234064</c:v>
                </c:pt>
                <c:pt idx="5">
                  <c:v>0.346276007984722</c:v>
                </c:pt>
              </c:numCache>
            </c:numRef>
          </c:val>
          <c:smooth val="0"/>
        </c:ser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7962"/>
        <c:crosses val="autoZero"/>
        <c:auto val="1"/>
        <c:lblOffset val="100"/>
        <c:noMultiLvlLbl val="0"/>
      </c:catAx>
      <c:valAx>
        <c:axId val="119379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239521"/>
        <c:crossesAt val="1"/>
        <c:crossBetween val="between"/>
        <c:dispUnits/>
        <c:majorUnit val="0.2"/>
        <c:minorUnit val="0.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175"/>
          <c:w val="0.8592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Fig.5. Rata de creşetere a capitalului angajat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(indice cu baza în lanţ)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245"/>
          <c:w val="0.9435"/>
          <c:h val="0.617"/>
        </c:manualLayout>
      </c:layout>
      <c:lineChart>
        <c:grouping val="standard"/>
        <c:varyColors val="0"/>
        <c:ser>
          <c:idx val="0"/>
          <c:order val="0"/>
          <c:tx>
            <c:v>Rata de creştere a capitalului angajat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'Capital stock'!$D$3:$I$3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'Capital stock'!$D$59:$I$59</c:f>
              <c:numCache>
                <c:ptCount val="6"/>
                <c:pt idx="0">
                  <c:v>-0.03419774665049066</c:v>
                </c:pt>
                <c:pt idx="1">
                  <c:v>-0.03741098396239911</c:v>
                </c:pt>
                <c:pt idx="2">
                  <c:v>-0.034661450857207454</c:v>
                </c:pt>
                <c:pt idx="3">
                  <c:v>-0.036023290862001144</c:v>
                </c:pt>
                <c:pt idx="4">
                  <c:v>-0.037528875237399895</c:v>
                </c:pt>
                <c:pt idx="5">
                  <c:v>-0.03670386778513797</c:v>
                </c:pt>
              </c:numCache>
            </c:numRef>
          </c:val>
          <c:smooth val="0"/>
        </c:ser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0836"/>
        <c:crosses val="autoZero"/>
        <c:auto val="1"/>
        <c:lblOffset val="100"/>
        <c:noMultiLvlLbl val="0"/>
      </c:catAx>
      <c:valAx>
        <c:axId val="27450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3327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85525"/>
          <c:h val="0.06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2"/>
          <c:w val="0.960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'Cost of Capital'!$B$22</c:f>
              <c:strCache>
                <c:ptCount val="1"/>
                <c:pt idx="0">
                  <c:v>Realized Rate of Return on Equity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'Cost of Capital'!$D$3:$I$3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'Cost of Capital'!$D$22:$I$22</c:f>
              <c:numCache>
                <c:ptCount val="6"/>
                <c:pt idx="0">
                  <c:v>-1.812579943421065</c:v>
                </c:pt>
                <c:pt idx="1">
                  <c:v>1.2875247640135183</c:v>
                </c:pt>
                <c:pt idx="2">
                  <c:v>-44.432509925011026</c:v>
                </c:pt>
                <c:pt idx="3">
                  <c:v>-6.64010124353472</c:v>
                </c:pt>
                <c:pt idx="4">
                  <c:v>-0.6070817028132249</c:v>
                </c:pt>
                <c:pt idx="5">
                  <c:v>-0.7471315852944217</c:v>
                </c:pt>
              </c:numCache>
            </c:numRef>
          </c:val>
          <c:smooth val="0"/>
        </c:ser>
        <c:axId val="45730933"/>
        <c:axId val="8925214"/>
      </c:line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730933"/>
        <c:crossesAt val="1"/>
        <c:crossBetween val="between"/>
        <c:dispUnits/>
        <c:majorUnit val="0.10058407631585399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"/>
          <c:y val="0.916"/>
          <c:w val="0.86375"/>
          <c:h val="0.06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Realized Return on Investment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075"/>
          <c:w val="0.9617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'Cost of Capital'!$B$32</c:f>
              <c:strCache>
                <c:ptCount val="1"/>
                <c:pt idx="0">
                  <c:v>Realized return on Investment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'Cost of Capital'!$D$3:$I$3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'Cost of Capital'!$D$32:$I$32</c:f>
              <c:numCache>
                <c:ptCount val="6"/>
                <c:pt idx="0">
                  <c:v>-2.8912859197336016</c:v>
                </c:pt>
                <c:pt idx="1">
                  <c:v>0.2270179189036979</c:v>
                </c:pt>
                <c:pt idx="2">
                  <c:v>-1.0743267763660989</c:v>
                </c:pt>
                <c:pt idx="3">
                  <c:v>-1.6656070417809596</c:v>
                </c:pt>
                <c:pt idx="4">
                  <c:v>-1.5786779043989694</c:v>
                </c:pt>
                <c:pt idx="5">
                  <c:v>-1.9327748784901657</c:v>
                </c:pt>
              </c:numCache>
            </c:numRef>
          </c:val>
          <c:smooth val="0"/>
        </c:ser>
        <c:axId val="13218063"/>
        <c:axId val="51853704"/>
      </c:line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21806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1625"/>
          <c:w val="0.845"/>
          <c:h val="0.0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Fig.6. Rata de creştere agregată a consumului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(indice cu baza în lanţ)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45"/>
          <c:w val="0.93875"/>
          <c:h val="0.58175"/>
        </c:manualLayout>
      </c:layout>
      <c:lineChart>
        <c:grouping val="standard"/>
        <c:varyColors val="0"/>
        <c:ser>
          <c:idx val="0"/>
          <c:order val="0"/>
          <c:tx>
            <c:v>Rata de creştere a consumului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'X&amp;Z Factor'!$D$20:$I$20</c:f>
              <c:numCache>
                <c:ptCount val="6"/>
                <c:pt idx="0">
                  <c:v>0.31361285037870423</c:v>
                </c:pt>
                <c:pt idx="1">
                  <c:v>0.06696639907315109</c:v>
                </c:pt>
                <c:pt idx="2">
                  <c:v>-0.7721457023984686</c:v>
                </c:pt>
                <c:pt idx="3">
                  <c:v>0.06536585591199767</c:v>
                </c:pt>
                <c:pt idx="4">
                  <c:v>-0.5308962028045208</c:v>
                </c:pt>
                <c:pt idx="5">
                  <c:v>0.6909749022166994</c:v>
                </c:pt>
              </c:numCache>
            </c:numRef>
          </c:val>
          <c:smooth val="0"/>
        </c:ser>
        <c:axId val="64030153"/>
        <c:axId val="39400466"/>
      </c:line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403015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515"/>
          <c:w val="0.8645"/>
          <c:h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Fig.8. Factorul total de productivitate al S.C. Romtelecom S.A. 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(indice cu baza în lanţ)</a:t>
            </a:r>
          </a:p>
        </c:rich>
      </c:tx>
      <c:layout>
        <c:manualLayout>
          <c:xMode val="factor"/>
          <c:yMode val="factor"/>
          <c:x val="0.03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0275"/>
          <c:w val="0.95025"/>
          <c:h val="0.65225"/>
        </c:manualLayout>
      </c:layout>
      <c:lineChart>
        <c:grouping val="standard"/>
        <c:varyColors val="0"/>
        <c:ser>
          <c:idx val="0"/>
          <c:order val="0"/>
          <c:tx>
            <c:v>Factorul total de productivitate</c:v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'X&amp;Z Factor'!$D$26:$I$26</c:f>
              <c:numCache>
                <c:ptCount val="6"/>
                <c:pt idx="0">
                  <c:v>-2.915890011360193</c:v>
                </c:pt>
                <c:pt idx="1">
                  <c:v>0.04782715517394888</c:v>
                </c:pt>
                <c:pt idx="2">
                  <c:v>1.2679322475726411</c:v>
                </c:pt>
                <c:pt idx="3">
                  <c:v>-0.4259940554701257</c:v>
                </c:pt>
                <c:pt idx="4">
                  <c:v>1.386858896104234</c:v>
                </c:pt>
                <c:pt idx="5">
                  <c:v>3.0726018857900836</c:v>
                </c:pt>
              </c:numCache>
            </c:numRef>
          </c:val>
          <c:smooth val="0"/>
        </c:ser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05987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25"/>
          <c:y val="0.888"/>
          <c:w val="0.8495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177"/>
          <c:w val="0.955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'X&amp;Z Factor'!$B$8</c:f>
              <c:strCache>
                <c:ptCount val="1"/>
                <c:pt idx="0">
                  <c:v>Excess/Missing Revenues</c:v>
                </c:pt>
              </c:strCache>
            </c:strRef>
          </c:tx>
          <c:spPr>
            <a:ln w="38100">
              <a:solidFill>
                <a:srgbClr val="0033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'X&amp;Z Factor'!$D$3:$I$3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'X&amp;Z Factor'!$C$8:$I$8</c:f>
              <c:numCache>
                <c:ptCount val="7"/>
                <c:pt idx="0">
                  <c:v>402521.98</c:v>
                </c:pt>
                <c:pt idx="1">
                  <c:v>-714103.8151138523</c:v>
                </c:pt>
                <c:pt idx="2">
                  <c:v>-56343.55160455068</c:v>
                </c:pt>
                <c:pt idx="3">
                  <c:v>-291959.3256591114</c:v>
                </c:pt>
                <c:pt idx="4">
                  <c:v>-364365.4962985818</c:v>
                </c:pt>
                <c:pt idx="5">
                  <c:v>-320072.73148081976</c:v>
                </c:pt>
                <c:pt idx="6">
                  <c:v>-369887.7563879655</c:v>
                </c:pt>
              </c:numCache>
            </c:numRef>
          </c:val>
          <c:smooth val="0"/>
        </c:ser>
        <c:axId val="346013"/>
        <c:axId val="3114118"/>
      </c:line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601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9"/>
          <c:y val="0.90225"/>
          <c:w val="0.8285"/>
          <c:h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752475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47650" y="504825"/>
        <a:ext cx="5324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829300" y="504825"/>
        <a:ext cx="5334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142875</xdr:rowOff>
    </xdr:from>
    <xdr:to>
      <xdr:col>8</xdr:col>
      <xdr:colOff>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247650" y="3886200"/>
        <a:ext cx="5334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22</xdr:row>
      <xdr:rowOff>123825</xdr:rowOff>
    </xdr:from>
    <xdr:to>
      <xdr:col>16</xdr:col>
      <xdr:colOff>0</xdr:colOff>
      <xdr:row>42</xdr:row>
      <xdr:rowOff>133350</xdr:rowOff>
    </xdr:to>
    <xdr:graphicFrame>
      <xdr:nvGraphicFramePr>
        <xdr:cNvPr id="4" name="Chart 4"/>
        <xdr:cNvGraphicFramePr/>
      </xdr:nvGraphicFramePr>
      <xdr:xfrm>
        <a:off x="5819775" y="3867150"/>
        <a:ext cx="53435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9525</xdr:colOff>
      <xdr:row>64</xdr:row>
      <xdr:rowOff>9525</xdr:rowOff>
    </xdr:to>
    <xdr:graphicFrame>
      <xdr:nvGraphicFramePr>
        <xdr:cNvPr id="5" name="Chart 5"/>
        <xdr:cNvGraphicFramePr/>
      </xdr:nvGraphicFramePr>
      <xdr:xfrm>
        <a:off x="247650" y="7305675"/>
        <a:ext cx="53435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19050</xdr:colOff>
      <xdr:row>64</xdr:row>
      <xdr:rowOff>19050</xdr:rowOff>
    </xdr:to>
    <xdr:graphicFrame>
      <xdr:nvGraphicFramePr>
        <xdr:cNvPr id="6" name="Chart 6"/>
        <xdr:cNvGraphicFramePr/>
      </xdr:nvGraphicFramePr>
      <xdr:xfrm>
        <a:off x="5829300" y="7305675"/>
        <a:ext cx="535305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64</xdr:row>
      <xdr:rowOff>123825</xdr:rowOff>
    </xdr:from>
    <xdr:to>
      <xdr:col>8</xdr:col>
      <xdr:colOff>19050</xdr:colOff>
      <xdr:row>84</xdr:row>
      <xdr:rowOff>152400</xdr:rowOff>
    </xdr:to>
    <xdr:graphicFrame>
      <xdr:nvGraphicFramePr>
        <xdr:cNvPr id="7" name="Chart 7"/>
        <xdr:cNvGraphicFramePr/>
      </xdr:nvGraphicFramePr>
      <xdr:xfrm>
        <a:off x="238125" y="10668000"/>
        <a:ext cx="5362575" cy="326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64</xdr:row>
      <xdr:rowOff>114300</xdr:rowOff>
    </xdr:from>
    <xdr:to>
      <xdr:col>16</xdr:col>
      <xdr:colOff>38100</xdr:colOff>
      <xdr:row>84</xdr:row>
      <xdr:rowOff>152400</xdr:rowOff>
    </xdr:to>
    <xdr:graphicFrame>
      <xdr:nvGraphicFramePr>
        <xdr:cNvPr id="8" name="Chart 8"/>
        <xdr:cNvGraphicFramePr/>
      </xdr:nvGraphicFramePr>
      <xdr:xfrm>
        <a:off x="5829300" y="10658475"/>
        <a:ext cx="537210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8</xdr:col>
      <xdr:colOff>38100</xdr:colOff>
      <xdr:row>106</xdr:row>
      <xdr:rowOff>38100</xdr:rowOff>
    </xdr:to>
    <xdr:graphicFrame>
      <xdr:nvGraphicFramePr>
        <xdr:cNvPr id="9" name="Chart 9"/>
        <xdr:cNvGraphicFramePr/>
      </xdr:nvGraphicFramePr>
      <xdr:xfrm>
        <a:off x="247650" y="14106525"/>
        <a:ext cx="53721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86</xdr:row>
      <xdr:rowOff>0</xdr:rowOff>
    </xdr:from>
    <xdr:to>
      <xdr:col>16</xdr:col>
      <xdr:colOff>47625</xdr:colOff>
      <xdr:row>106</xdr:row>
      <xdr:rowOff>47625</xdr:rowOff>
    </xdr:to>
    <xdr:graphicFrame>
      <xdr:nvGraphicFramePr>
        <xdr:cNvPr id="10" name="Chart 11"/>
        <xdr:cNvGraphicFramePr/>
      </xdr:nvGraphicFramePr>
      <xdr:xfrm>
        <a:off x="5829300" y="14106525"/>
        <a:ext cx="538162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107</xdr:row>
      <xdr:rowOff>85725</xdr:rowOff>
    </xdr:from>
    <xdr:to>
      <xdr:col>8</xdr:col>
      <xdr:colOff>47625</xdr:colOff>
      <xdr:row>128</xdr:row>
      <xdr:rowOff>66675</xdr:rowOff>
    </xdr:to>
    <xdr:graphicFrame>
      <xdr:nvGraphicFramePr>
        <xdr:cNvPr id="11" name="Chart 12"/>
        <xdr:cNvGraphicFramePr/>
      </xdr:nvGraphicFramePr>
      <xdr:xfrm>
        <a:off x="247650" y="17592675"/>
        <a:ext cx="5381625" cy="3381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752475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47650" y="666750"/>
        <a:ext cx="5324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829300" y="666750"/>
        <a:ext cx="5334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142875</xdr:rowOff>
    </xdr:from>
    <xdr:to>
      <xdr:col>8</xdr:col>
      <xdr:colOff>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247650" y="4048125"/>
        <a:ext cx="5334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23</xdr:row>
      <xdr:rowOff>123825</xdr:rowOff>
    </xdr:from>
    <xdr:to>
      <xdr:col>16</xdr:col>
      <xdr:colOff>0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5819775" y="4029075"/>
        <a:ext cx="53435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8</xdr:col>
      <xdr:colOff>9525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47650" y="7467600"/>
        <a:ext cx="534352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19050</xdr:colOff>
      <xdr:row>65</xdr:row>
      <xdr:rowOff>19050</xdr:rowOff>
    </xdr:to>
    <xdr:graphicFrame>
      <xdr:nvGraphicFramePr>
        <xdr:cNvPr id="6" name="Chart 6"/>
        <xdr:cNvGraphicFramePr/>
      </xdr:nvGraphicFramePr>
      <xdr:xfrm>
        <a:off x="5829300" y="7467600"/>
        <a:ext cx="535305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65</xdr:row>
      <xdr:rowOff>123825</xdr:rowOff>
    </xdr:from>
    <xdr:to>
      <xdr:col>8</xdr:col>
      <xdr:colOff>19050</xdr:colOff>
      <xdr:row>85</xdr:row>
      <xdr:rowOff>152400</xdr:rowOff>
    </xdr:to>
    <xdr:graphicFrame>
      <xdr:nvGraphicFramePr>
        <xdr:cNvPr id="7" name="Chart 7"/>
        <xdr:cNvGraphicFramePr/>
      </xdr:nvGraphicFramePr>
      <xdr:xfrm>
        <a:off x="238125" y="10829925"/>
        <a:ext cx="5362575" cy="326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65</xdr:row>
      <xdr:rowOff>114300</xdr:rowOff>
    </xdr:from>
    <xdr:to>
      <xdr:col>16</xdr:col>
      <xdr:colOff>38100</xdr:colOff>
      <xdr:row>85</xdr:row>
      <xdr:rowOff>152400</xdr:rowOff>
    </xdr:to>
    <xdr:graphicFrame>
      <xdr:nvGraphicFramePr>
        <xdr:cNvPr id="8" name="Chart 8"/>
        <xdr:cNvGraphicFramePr/>
      </xdr:nvGraphicFramePr>
      <xdr:xfrm>
        <a:off x="5829300" y="10820400"/>
        <a:ext cx="537210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8</xdr:col>
      <xdr:colOff>38100</xdr:colOff>
      <xdr:row>107</xdr:row>
      <xdr:rowOff>38100</xdr:rowOff>
    </xdr:to>
    <xdr:graphicFrame>
      <xdr:nvGraphicFramePr>
        <xdr:cNvPr id="9" name="Chart 9"/>
        <xdr:cNvGraphicFramePr/>
      </xdr:nvGraphicFramePr>
      <xdr:xfrm>
        <a:off x="247650" y="14268450"/>
        <a:ext cx="53721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87</xdr:row>
      <xdr:rowOff>0</xdr:rowOff>
    </xdr:from>
    <xdr:to>
      <xdr:col>16</xdr:col>
      <xdr:colOff>47625</xdr:colOff>
      <xdr:row>107</xdr:row>
      <xdr:rowOff>47625</xdr:rowOff>
    </xdr:to>
    <xdr:graphicFrame>
      <xdr:nvGraphicFramePr>
        <xdr:cNvPr id="10" name="Chart 10"/>
        <xdr:cNvGraphicFramePr/>
      </xdr:nvGraphicFramePr>
      <xdr:xfrm>
        <a:off x="5829300" y="14268450"/>
        <a:ext cx="538162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4"/>
  <sheetViews>
    <sheetView workbookViewId="0" topLeftCell="A1">
      <selection activeCell="E12" sqref="E12"/>
    </sheetView>
  </sheetViews>
  <sheetFormatPr defaultColWidth="9.140625" defaultRowHeight="12.75"/>
  <sheetData>
    <row r="4" ht="12.75">
      <c r="B4" s="769" t="s">
        <v>306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1"/>
  <sheetViews>
    <sheetView zoomScale="85" zoomScaleNormal="85" workbookViewId="0" topLeftCell="A1">
      <selection activeCell="O111" sqref="O111"/>
    </sheetView>
  </sheetViews>
  <sheetFormatPr defaultColWidth="9.140625" defaultRowHeight="12.75"/>
  <cols>
    <col min="1" max="1" width="3.7109375" style="42" customWidth="1"/>
    <col min="2" max="8" width="11.421875" style="42" customWidth="1"/>
    <col min="9" max="9" width="3.7109375" style="42" customWidth="1"/>
    <col min="10" max="16" width="11.421875" style="42" customWidth="1"/>
    <col min="17" max="17" width="3.7109375" style="42" customWidth="1"/>
    <col min="18" max="16384" width="11.421875" style="42" customWidth="1"/>
  </cols>
  <sheetData>
    <row r="1" s="289" customFormat="1" ht="27" customHeight="1">
      <c r="B1" s="290" t="s">
        <v>294</v>
      </c>
    </row>
  </sheetData>
  <printOptions/>
  <pageMargins left="0.75" right="0.75" top="1" bottom="1" header="0.4921259845" footer="0.4921259845"/>
  <pageSetup fitToHeight="2" fitToWidth="2" horizontalDpi="600" verticalDpi="600" orientation="landscape" paperSize="9" scale="86" r:id="rId2"/>
  <rowBreaks count="2" manualBreakCount="2">
    <brk id="43" max="14" man="1"/>
    <brk id="85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3.7109375" style="42" customWidth="1"/>
    <col min="2" max="8" width="11.421875" style="42" customWidth="1"/>
    <col min="9" max="9" width="3.7109375" style="42" customWidth="1"/>
    <col min="10" max="16" width="11.421875" style="42" customWidth="1"/>
    <col min="17" max="17" width="3.7109375" style="42" customWidth="1"/>
    <col min="18" max="16384" width="11.421875" style="42" customWidth="1"/>
  </cols>
  <sheetData>
    <row r="1" s="289" customFormat="1" ht="27" customHeight="1">
      <c r="B1" s="290" t="s">
        <v>295</v>
      </c>
    </row>
  </sheetData>
  <printOptions/>
  <pageMargins left="0.75" right="0.75" top="1" bottom="1" header="0.4921259845" footer="0.4921259845"/>
  <pageSetup fitToHeight="2" fitToWidth="2" horizontalDpi="600" verticalDpi="600" orientation="landscape" paperSize="9" scale="86" r:id="rId2"/>
  <rowBreaks count="2" manualBreakCount="2">
    <brk id="44" max="14" man="1"/>
    <brk id="8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3"/>
  <sheetViews>
    <sheetView zoomScale="85" zoomScaleNormal="85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6" sqref="D96"/>
    </sheetView>
  </sheetViews>
  <sheetFormatPr defaultColWidth="9.140625" defaultRowHeight="12.75"/>
  <cols>
    <col min="1" max="1" width="3.7109375" style="1" customWidth="1"/>
    <col min="2" max="2" width="45.7109375" style="1" customWidth="1"/>
    <col min="3" max="3" width="11.28125" style="1" bestFit="1" customWidth="1"/>
    <col min="4" max="4" width="13.57421875" style="1" bestFit="1" customWidth="1"/>
    <col min="5" max="5" width="11.28125" style="1" bestFit="1" customWidth="1"/>
    <col min="6" max="6" width="12.140625" style="1" bestFit="1" customWidth="1"/>
    <col min="7" max="7" width="13.57421875" style="1" bestFit="1" customWidth="1"/>
    <col min="8" max="9" width="11.28125" style="1" bestFit="1" customWidth="1"/>
    <col min="10" max="10" width="12.140625" style="1" bestFit="1" customWidth="1"/>
    <col min="11" max="15" width="9.28125" style="1" customWidth="1"/>
    <col min="16" max="16384" width="9.140625" style="1" customWidth="1"/>
  </cols>
  <sheetData>
    <row r="1" ht="27" customHeight="1">
      <c r="B1" s="264" t="s">
        <v>287</v>
      </c>
    </row>
    <row r="2" ht="13.5" thickBot="1"/>
    <row r="3" spans="2:15" ht="12.75">
      <c r="B3" s="204" t="s">
        <v>19</v>
      </c>
      <c r="C3" s="38">
        <v>1998</v>
      </c>
      <c r="D3" s="38">
        <v>1999</v>
      </c>
      <c r="E3" s="38">
        <v>2000</v>
      </c>
      <c r="F3" s="38">
        <v>2001</v>
      </c>
      <c r="G3" s="38">
        <v>2002</v>
      </c>
      <c r="H3" s="39">
        <v>2003</v>
      </c>
      <c r="I3" s="40">
        <v>2004</v>
      </c>
      <c r="J3" s="41">
        <v>2005</v>
      </c>
      <c r="K3" s="38">
        <v>2006</v>
      </c>
      <c r="L3" s="38">
        <v>2007</v>
      </c>
      <c r="M3" s="38">
        <v>2008</v>
      </c>
      <c r="N3" s="38">
        <v>2009</v>
      </c>
      <c r="O3" s="38">
        <v>2010</v>
      </c>
    </row>
    <row r="4" spans="2:15" ht="12.75">
      <c r="B4" s="2" t="s">
        <v>6</v>
      </c>
      <c r="C4" s="670">
        <v>6254</v>
      </c>
      <c r="D4" s="670">
        <v>1546</v>
      </c>
      <c r="E4" s="670">
        <v>55879</v>
      </c>
      <c r="F4" s="670">
        <v>200</v>
      </c>
      <c r="G4" s="670">
        <v>63548</v>
      </c>
      <c r="H4" s="671">
        <v>54564</v>
      </c>
      <c r="I4" s="672">
        <v>98518</v>
      </c>
      <c r="J4" s="581"/>
      <c r="K4" s="370"/>
      <c r="L4" s="370"/>
      <c r="M4" s="370"/>
      <c r="N4" s="370"/>
      <c r="O4" s="370"/>
    </row>
    <row r="5" spans="2:15" ht="12.75">
      <c r="B5" s="3" t="s">
        <v>8</v>
      </c>
      <c r="C5" s="673">
        <v>854</v>
      </c>
      <c r="D5" s="673">
        <v>349</v>
      </c>
      <c r="E5" s="673">
        <v>254</v>
      </c>
      <c r="F5" s="673">
        <v>5463</v>
      </c>
      <c r="G5" s="673">
        <v>4885</v>
      </c>
      <c r="H5" s="674">
        <v>954</v>
      </c>
      <c r="I5" s="675">
        <v>3599</v>
      </c>
      <c r="J5" s="582"/>
      <c r="K5" s="338"/>
      <c r="L5" s="338"/>
      <c r="M5" s="338"/>
      <c r="N5" s="338"/>
      <c r="O5" s="338"/>
    </row>
    <row r="6" spans="2:15" ht="12.75">
      <c r="B6" s="3" t="s">
        <v>7</v>
      </c>
      <c r="C6" s="673">
        <v>397</v>
      </c>
      <c r="D6" s="673">
        <v>6762</v>
      </c>
      <c r="E6" s="673">
        <v>9760</v>
      </c>
      <c r="F6" s="673">
        <v>24569</v>
      </c>
      <c r="G6" s="673">
        <v>1546</v>
      </c>
      <c r="H6" s="674">
        <v>66</v>
      </c>
      <c r="I6" s="675">
        <v>700</v>
      </c>
      <c r="J6" s="582"/>
      <c r="K6" s="338"/>
      <c r="L6" s="338"/>
      <c r="M6" s="338"/>
      <c r="N6" s="338"/>
      <c r="O6" s="338"/>
    </row>
    <row r="7" spans="2:15" ht="12.75">
      <c r="B7" s="3" t="s">
        <v>9</v>
      </c>
      <c r="C7" s="673">
        <v>553</v>
      </c>
      <c r="D7" s="673">
        <v>8734</v>
      </c>
      <c r="E7" s="673">
        <v>64732</v>
      </c>
      <c r="F7" s="673">
        <v>4656</v>
      </c>
      <c r="G7" s="673">
        <v>4216</v>
      </c>
      <c r="H7" s="674">
        <v>1568</v>
      </c>
      <c r="I7" s="675">
        <v>5896</v>
      </c>
      <c r="J7" s="582"/>
      <c r="K7" s="338"/>
      <c r="L7" s="338"/>
      <c r="M7" s="338"/>
      <c r="N7" s="338"/>
      <c r="O7" s="338"/>
    </row>
    <row r="8" spans="2:15" ht="12.75">
      <c r="B8" s="3" t="s">
        <v>0</v>
      </c>
      <c r="C8" s="673">
        <v>2151</v>
      </c>
      <c r="D8" s="673">
        <v>120</v>
      </c>
      <c r="E8" s="673">
        <v>554</v>
      </c>
      <c r="F8" s="673">
        <v>635</v>
      </c>
      <c r="G8" s="673">
        <v>266</v>
      </c>
      <c r="H8" s="674">
        <v>32000</v>
      </c>
      <c r="I8" s="675">
        <v>2045</v>
      </c>
      <c r="J8" s="582"/>
      <c r="K8" s="338"/>
      <c r="L8" s="338"/>
      <c r="M8" s="338"/>
      <c r="N8" s="338"/>
      <c r="O8" s="338"/>
    </row>
    <row r="9" spans="2:15" ht="12.75">
      <c r="B9" s="3" t="s">
        <v>13</v>
      </c>
      <c r="C9" s="673">
        <v>687</v>
      </c>
      <c r="D9" s="673">
        <v>6489</v>
      </c>
      <c r="E9" s="673">
        <v>25624</v>
      </c>
      <c r="F9" s="673">
        <v>4789</v>
      </c>
      <c r="G9" s="673">
        <v>2656</v>
      </c>
      <c r="H9" s="674">
        <v>24545</v>
      </c>
      <c r="I9" s="675">
        <v>976</v>
      </c>
      <c r="J9" s="582"/>
      <c r="K9" s="338"/>
      <c r="L9" s="338"/>
      <c r="M9" s="338"/>
      <c r="N9" s="338"/>
      <c r="O9" s="338"/>
    </row>
    <row r="10" spans="2:15" ht="12.75">
      <c r="B10" s="3" t="s">
        <v>14</v>
      </c>
      <c r="C10" s="673">
        <v>5554</v>
      </c>
      <c r="D10" s="673">
        <v>5563</v>
      </c>
      <c r="E10" s="673">
        <v>546</v>
      </c>
      <c r="F10" s="673">
        <v>2531</v>
      </c>
      <c r="G10" s="673">
        <v>6562</v>
      </c>
      <c r="H10" s="674">
        <v>15456</v>
      </c>
      <c r="I10" s="675">
        <v>395</v>
      </c>
      <c r="J10" s="582"/>
      <c r="K10" s="338"/>
      <c r="L10" s="338"/>
      <c r="M10" s="338"/>
      <c r="N10" s="338"/>
      <c r="O10" s="338"/>
    </row>
    <row r="11" spans="2:15" ht="12.75">
      <c r="B11" s="3" t="s">
        <v>12</v>
      </c>
      <c r="C11" s="673">
        <v>666666</v>
      </c>
      <c r="D11" s="673">
        <v>4579</v>
      </c>
      <c r="E11" s="673">
        <v>644253</v>
      </c>
      <c r="F11" s="673">
        <v>6102</v>
      </c>
      <c r="G11" s="673">
        <v>3245</v>
      </c>
      <c r="H11" s="674">
        <v>25456</v>
      </c>
      <c r="I11" s="675">
        <v>22</v>
      </c>
      <c r="J11" s="582"/>
      <c r="K11" s="338"/>
      <c r="L11" s="338"/>
      <c r="M11" s="338"/>
      <c r="N11" s="338"/>
      <c r="O11" s="338"/>
    </row>
    <row r="12" spans="2:15" ht="12.75">
      <c r="B12" s="3" t="s">
        <v>10</v>
      </c>
      <c r="C12" s="673"/>
      <c r="D12" s="673"/>
      <c r="E12" s="673">
        <v>48979</v>
      </c>
      <c r="F12" s="673">
        <v>6893</v>
      </c>
      <c r="G12" s="673">
        <v>2336</v>
      </c>
      <c r="H12" s="674">
        <v>555</v>
      </c>
      <c r="I12" s="675">
        <v>65789</v>
      </c>
      <c r="J12" s="582"/>
      <c r="K12" s="338"/>
      <c r="L12" s="338"/>
      <c r="M12" s="338"/>
      <c r="N12" s="338"/>
      <c r="O12" s="338"/>
    </row>
    <row r="13" spans="2:15" ht="12.75">
      <c r="B13" s="3" t="s">
        <v>15</v>
      </c>
      <c r="C13" s="673">
        <v>1445</v>
      </c>
      <c r="D13" s="673">
        <v>1956</v>
      </c>
      <c r="E13" s="673">
        <v>956</v>
      </c>
      <c r="F13" s="673">
        <v>1254</v>
      </c>
      <c r="G13" s="673">
        <v>56285</v>
      </c>
      <c r="H13" s="674">
        <v>4544</v>
      </c>
      <c r="I13" s="675"/>
      <c r="J13" s="582"/>
      <c r="K13" s="338"/>
      <c r="L13" s="338"/>
      <c r="M13" s="338"/>
      <c r="N13" s="338"/>
      <c r="O13" s="338"/>
    </row>
    <row r="14" spans="2:15" ht="12.75">
      <c r="B14" s="3" t="s">
        <v>11</v>
      </c>
      <c r="C14" s="673">
        <v>65445</v>
      </c>
      <c r="D14" s="673">
        <v>20</v>
      </c>
      <c r="E14" s="673">
        <v>885</v>
      </c>
      <c r="F14" s="673">
        <v>932</v>
      </c>
      <c r="G14" s="673">
        <v>53625</v>
      </c>
      <c r="H14" s="674">
        <v>254856</v>
      </c>
      <c r="I14" s="675">
        <v>24556</v>
      </c>
      <c r="J14" s="582"/>
      <c r="K14" s="338"/>
      <c r="L14" s="338"/>
      <c r="M14" s="338"/>
      <c r="N14" s="338"/>
      <c r="O14" s="338"/>
    </row>
    <row r="15" spans="2:15" ht="12.75">
      <c r="B15" s="3" t="s">
        <v>16</v>
      </c>
      <c r="C15" s="676">
        <v>22</v>
      </c>
      <c r="D15" s="673">
        <v>3784</v>
      </c>
      <c r="E15" s="673">
        <v>78893</v>
      </c>
      <c r="F15" s="673">
        <v>1583</v>
      </c>
      <c r="G15" s="673">
        <v>5632</v>
      </c>
      <c r="H15" s="674">
        <v>2215</v>
      </c>
      <c r="I15" s="675">
        <v>6685</v>
      </c>
      <c r="J15" s="582"/>
      <c r="K15" s="338"/>
      <c r="L15" s="338"/>
      <c r="M15" s="338"/>
      <c r="N15" s="338"/>
      <c r="O15" s="338"/>
    </row>
    <row r="16" spans="2:15" ht="12.75">
      <c r="B16" s="4" t="s">
        <v>221</v>
      </c>
      <c r="C16" s="677"/>
      <c r="D16" s="677"/>
      <c r="E16" s="677"/>
      <c r="F16" s="677">
        <v>6660</v>
      </c>
      <c r="G16" s="677">
        <v>989</v>
      </c>
      <c r="H16" s="678">
        <v>88804</v>
      </c>
      <c r="I16" s="679">
        <v>1248</v>
      </c>
      <c r="J16" s="583"/>
      <c r="K16" s="347"/>
      <c r="L16" s="347"/>
      <c r="M16" s="347"/>
      <c r="N16" s="347"/>
      <c r="O16" s="347"/>
    </row>
    <row r="17" spans="2:15" ht="13.5" thickBot="1">
      <c r="B17" s="5" t="s">
        <v>220</v>
      </c>
      <c r="C17" s="680">
        <f aca="true" t="shared" si="0" ref="C17:I17">SUM(C4:C15)</f>
        <v>750028</v>
      </c>
      <c r="D17" s="680">
        <f t="shared" si="0"/>
        <v>39902</v>
      </c>
      <c r="E17" s="680">
        <f t="shared" si="0"/>
        <v>931315</v>
      </c>
      <c r="F17" s="680">
        <f t="shared" si="0"/>
        <v>59607</v>
      </c>
      <c r="G17" s="680">
        <f t="shared" si="0"/>
        <v>204802</v>
      </c>
      <c r="H17" s="681">
        <f t="shared" si="0"/>
        <v>416779</v>
      </c>
      <c r="I17" s="682">
        <f t="shared" si="0"/>
        <v>209181</v>
      </c>
      <c r="J17" s="584">
        <f aca="true" t="shared" si="1" ref="J17:O17">SUM(J4:J15)</f>
        <v>0</v>
      </c>
      <c r="K17" s="585">
        <f t="shared" si="1"/>
        <v>0</v>
      </c>
      <c r="L17" s="585">
        <f t="shared" si="1"/>
        <v>0</v>
      </c>
      <c r="M17" s="585">
        <f t="shared" si="1"/>
        <v>0</v>
      </c>
      <c r="N17" s="585">
        <f t="shared" si="1"/>
        <v>0</v>
      </c>
      <c r="O17" s="585">
        <f t="shared" si="1"/>
        <v>0</v>
      </c>
    </row>
    <row r="18" spans="2:15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2.75">
      <c r="B19" s="204" t="s">
        <v>193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2" t="s">
        <v>6</v>
      </c>
      <c r="C20" s="8">
        <f>C4/C$17</f>
        <v>0.008338355368066258</v>
      </c>
      <c r="D20" s="8">
        <f aca="true" t="shared" si="2" ref="D20:O20">D4/D$17</f>
        <v>0.03874492506641271</v>
      </c>
      <c r="E20" s="8">
        <f t="shared" si="2"/>
        <v>0.0600001073750557</v>
      </c>
      <c r="F20" s="8">
        <f t="shared" si="2"/>
        <v>0.00335531061788045</v>
      </c>
      <c r="G20" s="8">
        <f t="shared" si="2"/>
        <v>0.3102899385748186</v>
      </c>
      <c r="H20" s="8">
        <f t="shared" si="2"/>
        <v>0.13091830442512697</v>
      </c>
      <c r="I20" s="87">
        <f t="shared" si="2"/>
        <v>0.4709701167888097</v>
      </c>
      <c r="J20" s="244" t="e">
        <f t="shared" si="2"/>
        <v>#DIV/0!</v>
      </c>
      <c r="K20" s="8" t="e">
        <f t="shared" si="2"/>
        <v>#DIV/0!</v>
      </c>
      <c r="L20" s="8" t="e">
        <f t="shared" si="2"/>
        <v>#DIV/0!</v>
      </c>
      <c r="M20" s="8" t="e">
        <f t="shared" si="2"/>
        <v>#DIV/0!</v>
      </c>
      <c r="N20" s="8" t="e">
        <f t="shared" si="2"/>
        <v>#DIV/0!</v>
      </c>
      <c r="O20" s="8" t="e">
        <f t="shared" si="2"/>
        <v>#DIV/0!</v>
      </c>
    </row>
    <row r="21" spans="2:15" ht="12.75">
      <c r="B21" s="3" t="s">
        <v>8</v>
      </c>
      <c r="C21" s="9">
        <f aca="true" t="shared" si="3" ref="C21:O31">C5/C$17</f>
        <v>0.0011386241580314334</v>
      </c>
      <c r="D21" s="9">
        <f t="shared" si="3"/>
        <v>0.008746428750438575</v>
      </c>
      <c r="E21" s="9">
        <f t="shared" si="3"/>
        <v>0.00027273264148005774</v>
      </c>
      <c r="F21" s="9">
        <f t="shared" si="3"/>
        <v>0.0916503095274045</v>
      </c>
      <c r="G21" s="9">
        <f t="shared" si="3"/>
        <v>0.02385230612982295</v>
      </c>
      <c r="H21" s="9">
        <f t="shared" si="3"/>
        <v>0.0022889828902127986</v>
      </c>
      <c r="I21" s="74">
        <f t="shared" si="3"/>
        <v>0.017205195500547374</v>
      </c>
      <c r="J21" s="137" t="e">
        <f t="shared" si="3"/>
        <v>#DIV/0!</v>
      </c>
      <c r="K21" s="9" t="e">
        <f t="shared" si="3"/>
        <v>#DIV/0!</v>
      </c>
      <c r="L21" s="9" t="e">
        <f t="shared" si="3"/>
        <v>#DIV/0!</v>
      </c>
      <c r="M21" s="9" t="e">
        <f t="shared" si="3"/>
        <v>#DIV/0!</v>
      </c>
      <c r="N21" s="9" t="e">
        <f t="shared" si="3"/>
        <v>#DIV/0!</v>
      </c>
      <c r="O21" s="9" t="e">
        <f t="shared" si="3"/>
        <v>#DIV/0!</v>
      </c>
    </row>
    <row r="22" spans="2:15" ht="12.75">
      <c r="B22" s="3" t="s">
        <v>7</v>
      </c>
      <c r="C22" s="9">
        <f t="shared" si="3"/>
        <v>0.0005293135722933011</v>
      </c>
      <c r="D22" s="9">
        <f t="shared" si="3"/>
        <v>0.16946518971480126</v>
      </c>
      <c r="E22" s="9">
        <f t="shared" si="3"/>
        <v>0.01047980543639907</v>
      </c>
      <c r="F22" s="9">
        <f t="shared" si="3"/>
        <v>0.4121831328535239</v>
      </c>
      <c r="G22" s="9">
        <f t="shared" si="3"/>
        <v>0.007548754406695247</v>
      </c>
      <c r="H22" s="9">
        <f t="shared" si="3"/>
        <v>0.00015835730687006782</v>
      </c>
      <c r="I22" s="74">
        <f t="shared" si="3"/>
        <v>0.0033463842318374997</v>
      </c>
      <c r="J22" s="137" t="e">
        <f t="shared" si="3"/>
        <v>#DIV/0!</v>
      </c>
      <c r="K22" s="9" t="e">
        <f t="shared" si="3"/>
        <v>#DIV/0!</v>
      </c>
      <c r="L22" s="9" t="e">
        <f t="shared" si="3"/>
        <v>#DIV/0!</v>
      </c>
      <c r="M22" s="9" t="e">
        <f t="shared" si="3"/>
        <v>#DIV/0!</v>
      </c>
      <c r="N22" s="9" t="e">
        <f t="shared" si="3"/>
        <v>#DIV/0!</v>
      </c>
      <c r="O22" s="9" t="e">
        <f t="shared" si="3"/>
        <v>#DIV/0!</v>
      </c>
    </row>
    <row r="23" spans="2:15" ht="12.75">
      <c r="B23" s="3" t="s">
        <v>9</v>
      </c>
      <c r="C23" s="9">
        <f t="shared" si="3"/>
        <v>0.0007373058072498627</v>
      </c>
      <c r="D23" s="9">
        <f t="shared" si="3"/>
        <v>0.21888627136484387</v>
      </c>
      <c r="E23" s="9">
        <f t="shared" si="3"/>
        <v>0.06950602105624842</v>
      </c>
      <c r="F23" s="9">
        <f t="shared" si="3"/>
        <v>0.07811163118425689</v>
      </c>
      <c r="G23" s="9">
        <f t="shared" si="3"/>
        <v>0.02058573646741731</v>
      </c>
      <c r="H23" s="9">
        <f t="shared" si="3"/>
        <v>0.0037621857147313083</v>
      </c>
      <c r="I23" s="74">
        <f t="shared" si="3"/>
        <v>0.028186116329876998</v>
      </c>
      <c r="J23" s="137" t="e">
        <f t="shared" si="3"/>
        <v>#DIV/0!</v>
      </c>
      <c r="K23" s="9" t="e">
        <f t="shared" si="3"/>
        <v>#DIV/0!</v>
      </c>
      <c r="L23" s="9" t="e">
        <f t="shared" si="3"/>
        <v>#DIV/0!</v>
      </c>
      <c r="M23" s="9" t="e">
        <f t="shared" si="3"/>
        <v>#DIV/0!</v>
      </c>
      <c r="N23" s="9" t="e">
        <f t="shared" si="3"/>
        <v>#DIV/0!</v>
      </c>
      <c r="O23" s="9" t="e">
        <f t="shared" si="3"/>
        <v>#DIV/0!</v>
      </c>
    </row>
    <row r="24" spans="2:15" ht="12.75">
      <c r="B24" s="3" t="s">
        <v>0</v>
      </c>
      <c r="C24" s="9">
        <f t="shared" si="3"/>
        <v>0.0028678929319972055</v>
      </c>
      <c r="D24" s="9">
        <f t="shared" si="3"/>
        <v>0.0030073680517267304</v>
      </c>
      <c r="E24" s="9">
        <f t="shared" si="3"/>
        <v>0.0005948578085824883</v>
      </c>
      <c r="F24" s="9">
        <f t="shared" si="3"/>
        <v>0.01065311121177043</v>
      </c>
      <c r="G24" s="9">
        <f t="shared" si="3"/>
        <v>0.0012988154412554565</v>
      </c>
      <c r="H24" s="9">
        <f t="shared" si="3"/>
        <v>0.07677930030063895</v>
      </c>
      <c r="I24" s="74">
        <f t="shared" si="3"/>
        <v>0.009776222505868125</v>
      </c>
      <c r="J24" s="137" t="e">
        <f t="shared" si="3"/>
        <v>#DIV/0!</v>
      </c>
      <c r="K24" s="9" t="e">
        <f t="shared" si="3"/>
        <v>#DIV/0!</v>
      </c>
      <c r="L24" s="9" t="e">
        <f t="shared" si="3"/>
        <v>#DIV/0!</v>
      </c>
      <c r="M24" s="9" t="e">
        <f t="shared" si="3"/>
        <v>#DIV/0!</v>
      </c>
      <c r="N24" s="9" t="e">
        <f t="shared" si="3"/>
        <v>#DIV/0!</v>
      </c>
      <c r="O24" s="9" t="e">
        <f t="shared" si="3"/>
        <v>#DIV/0!</v>
      </c>
    </row>
    <row r="25" spans="2:15" ht="12.75">
      <c r="B25" s="3" t="s">
        <v>13</v>
      </c>
      <c r="C25" s="9">
        <f t="shared" si="3"/>
        <v>0.0009159658039433195</v>
      </c>
      <c r="D25" s="9">
        <f t="shared" si="3"/>
        <v>0.16262342739712296</v>
      </c>
      <c r="E25" s="9">
        <f t="shared" si="3"/>
        <v>0.02751378427277559</v>
      </c>
      <c r="F25" s="9">
        <f t="shared" si="3"/>
        <v>0.08034291274514738</v>
      </c>
      <c r="G25" s="9">
        <f t="shared" si="3"/>
        <v>0.012968623353287566</v>
      </c>
      <c r="H25" s="9">
        <f t="shared" si="3"/>
        <v>0.05889212268372447</v>
      </c>
      <c r="I25" s="74">
        <f t="shared" si="3"/>
        <v>0.0046658157289619995</v>
      </c>
      <c r="J25" s="137" t="e">
        <f t="shared" si="3"/>
        <v>#DIV/0!</v>
      </c>
      <c r="K25" s="9" t="e">
        <f t="shared" si="3"/>
        <v>#DIV/0!</v>
      </c>
      <c r="L25" s="9" t="e">
        <f t="shared" si="3"/>
        <v>#DIV/0!</v>
      </c>
      <c r="M25" s="9" t="e">
        <f t="shared" si="3"/>
        <v>#DIV/0!</v>
      </c>
      <c r="N25" s="9" t="e">
        <f t="shared" si="3"/>
        <v>#DIV/0!</v>
      </c>
      <c r="O25" s="9" t="e">
        <f t="shared" si="3"/>
        <v>#DIV/0!</v>
      </c>
    </row>
    <row r="26" spans="2:15" ht="12.75">
      <c r="B26" s="3" t="s">
        <v>14</v>
      </c>
      <c r="C26" s="9">
        <f t="shared" si="3"/>
        <v>0.007405056877876559</v>
      </c>
      <c r="D26" s="9">
        <f t="shared" si="3"/>
        <v>0.139416570597965</v>
      </c>
      <c r="E26" s="9">
        <f t="shared" si="3"/>
        <v>0.0005862678041264233</v>
      </c>
      <c r="F26" s="9">
        <f t="shared" si="3"/>
        <v>0.0424614558692771</v>
      </c>
      <c r="G26" s="9">
        <f t="shared" si="3"/>
        <v>0.03204070272751243</v>
      </c>
      <c r="H26" s="9">
        <f t="shared" si="3"/>
        <v>0.03708440204520861</v>
      </c>
      <c r="I26" s="74">
        <f t="shared" si="3"/>
        <v>0.0018883168165368747</v>
      </c>
      <c r="J26" s="137" t="e">
        <f t="shared" si="3"/>
        <v>#DIV/0!</v>
      </c>
      <c r="K26" s="9" t="e">
        <f t="shared" si="3"/>
        <v>#DIV/0!</v>
      </c>
      <c r="L26" s="9" t="e">
        <f t="shared" si="3"/>
        <v>#DIV/0!</v>
      </c>
      <c r="M26" s="9" t="e">
        <f t="shared" si="3"/>
        <v>#DIV/0!</v>
      </c>
      <c r="N26" s="9" t="e">
        <f t="shared" si="3"/>
        <v>#DIV/0!</v>
      </c>
      <c r="O26" s="9" t="e">
        <f t="shared" si="3"/>
        <v>#DIV/0!</v>
      </c>
    </row>
    <row r="27" spans="2:15" ht="12.75">
      <c r="B27" s="3" t="s">
        <v>12</v>
      </c>
      <c r="C27" s="9">
        <f t="shared" si="3"/>
        <v>0.8888548160868661</v>
      </c>
      <c r="D27" s="9">
        <f t="shared" si="3"/>
        <v>0.11475615257380582</v>
      </c>
      <c r="E27" s="9">
        <f t="shared" si="3"/>
        <v>0.6917670176041404</v>
      </c>
      <c r="F27" s="9">
        <f t="shared" si="3"/>
        <v>0.10237052695153254</v>
      </c>
      <c r="G27" s="9">
        <f t="shared" si="3"/>
        <v>0.01584457183035322</v>
      </c>
      <c r="H27" s="9">
        <f t="shared" si="3"/>
        <v>0.06107793338915828</v>
      </c>
      <c r="I27" s="74">
        <f t="shared" si="3"/>
        <v>0.00010517207585774999</v>
      </c>
      <c r="J27" s="137" t="e">
        <f t="shared" si="3"/>
        <v>#DIV/0!</v>
      </c>
      <c r="K27" s="9" t="e">
        <f t="shared" si="3"/>
        <v>#DIV/0!</v>
      </c>
      <c r="L27" s="9" t="e">
        <f t="shared" si="3"/>
        <v>#DIV/0!</v>
      </c>
      <c r="M27" s="9" t="e">
        <f t="shared" si="3"/>
        <v>#DIV/0!</v>
      </c>
      <c r="N27" s="9" t="e">
        <f t="shared" si="3"/>
        <v>#DIV/0!</v>
      </c>
      <c r="O27" s="9" t="e">
        <f t="shared" si="3"/>
        <v>#DIV/0!</v>
      </c>
    </row>
    <row r="28" spans="2:15" ht="12.75">
      <c r="B28" s="3" t="s">
        <v>10</v>
      </c>
      <c r="C28" s="9">
        <f t="shared" si="3"/>
        <v>0</v>
      </c>
      <c r="D28" s="9">
        <f t="shared" si="3"/>
        <v>0</v>
      </c>
      <c r="E28" s="9">
        <f t="shared" si="3"/>
        <v>0.0525912285316998</v>
      </c>
      <c r="F28" s="9">
        <f t="shared" si="3"/>
        <v>0.11564078044524972</v>
      </c>
      <c r="G28" s="9">
        <f t="shared" si="3"/>
        <v>0.011406138611927618</v>
      </c>
      <c r="H28" s="9">
        <f t="shared" si="3"/>
        <v>0.0013316409895892068</v>
      </c>
      <c r="I28" s="74">
        <f t="shared" si="3"/>
        <v>0.31450753175479607</v>
      </c>
      <c r="J28" s="137" t="e">
        <f t="shared" si="3"/>
        <v>#DIV/0!</v>
      </c>
      <c r="K28" s="9" t="e">
        <f t="shared" si="3"/>
        <v>#DIV/0!</v>
      </c>
      <c r="L28" s="9" t="e">
        <f t="shared" si="3"/>
        <v>#DIV/0!</v>
      </c>
      <c r="M28" s="9" t="e">
        <f t="shared" si="3"/>
        <v>#DIV/0!</v>
      </c>
      <c r="N28" s="9" t="e">
        <f t="shared" si="3"/>
        <v>#DIV/0!</v>
      </c>
      <c r="O28" s="9" t="e">
        <f t="shared" si="3"/>
        <v>#DIV/0!</v>
      </c>
    </row>
    <row r="29" spans="2:15" ht="12.75">
      <c r="B29" s="3" t="s">
        <v>15</v>
      </c>
      <c r="C29" s="9">
        <f t="shared" si="3"/>
        <v>0.0019265947404630227</v>
      </c>
      <c r="D29" s="9">
        <f t="shared" si="3"/>
        <v>0.04902009924314571</v>
      </c>
      <c r="E29" s="9">
        <f t="shared" si="3"/>
        <v>0.001026505532499745</v>
      </c>
      <c r="F29" s="9">
        <f t="shared" si="3"/>
        <v>0.021037797574110423</v>
      </c>
      <c r="G29" s="9">
        <f t="shared" si="3"/>
        <v>0.27482641771076455</v>
      </c>
      <c r="H29" s="9">
        <f t="shared" si="3"/>
        <v>0.01090266064269073</v>
      </c>
      <c r="I29" s="74">
        <f t="shared" si="3"/>
        <v>0</v>
      </c>
      <c r="J29" s="137" t="e">
        <f t="shared" si="3"/>
        <v>#DIV/0!</v>
      </c>
      <c r="K29" s="9" t="e">
        <f t="shared" si="3"/>
        <v>#DIV/0!</v>
      </c>
      <c r="L29" s="9" t="e">
        <f t="shared" si="3"/>
        <v>#DIV/0!</v>
      </c>
      <c r="M29" s="9" t="e">
        <f t="shared" si="3"/>
        <v>#DIV/0!</v>
      </c>
      <c r="N29" s="9" t="e">
        <f t="shared" si="3"/>
        <v>#DIV/0!</v>
      </c>
      <c r="O29" s="9" t="e">
        <f t="shared" si="3"/>
        <v>#DIV/0!</v>
      </c>
    </row>
    <row r="30" spans="2:15" ht="12.75">
      <c r="B30" s="3" t="s">
        <v>11</v>
      </c>
      <c r="C30" s="9">
        <f t="shared" si="3"/>
        <v>0.08725674241494984</v>
      </c>
      <c r="D30" s="9">
        <f t="shared" si="3"/>
        <v>0.0005012280086211218</v>
      </c>
      <c r="E30" s="9">
        <f t="shared" si="3"/>
        <v>0.0009502692429521698</v>
      </c>
      <c r="F30" s="9">
        <f t="shared" si="3"/>
        <v>0.0156357474793229</v>
      </c>
      <c r="G30" s="9">
        <f t="shared" si="3"/>
        <v>0.26183826329821</v>
      </c>
      <c r="H30" s="9">
        <f t="shared" si="3"/>
        <v>0.6114895424193637</v>
      </c>
      <c r="I30" s="74">
        <f t="shared" si="3"/>
        <v>0.11739115885285949</v>
      </c>
      <c r="J30" s="137" t="e">
        <f t="shared" si="3"/>
        <v>#DIV/0!</v>
      </c>
      <c r="K30" s="9" t="e">
        <f t="shared" si="3"/>
        <v>#DIV/0!</v>
      </c>
      <c r="L30" s="9" t="e">
        <f t="shared" si="3"/>
        <v>#DIV/0!</v>
      </c>
      <c r="M30" s="9" t="e">
        <f t="shared" si="3"/>
        <v>#DIV/0!</v>
      </c>
      <c r="N30" s="9" t="e">
        <f t="shared" si="3"/>
        <v>#DIV/0!</v>
      </c>
      <c r="O30" s="9" t="e">
        <f t="shared" si="3"/>
        <v>#DIV/0!</v>
      </c>
    </row>
    <row r="31" spans="2:15" ht="12.75">
      <c r="B31" s="3" t="s">
        <v>16</v>
      </c>
      <c r="C31" s="9">
        <f t="shared" si="3"/>
        <v>2.9332238263104843E-05</v>
      </c>
      <c r="D31" s="9">
        <f t="shared" si="3"/>
        <v>0.09483233923111624</v>
      </c>
      <c r="E31" s="9">
        <f t="shared" si="3"/>
        <v>0.08471140269404015</v>
      </c>
      <c r="F31" s="9">
        <f t="shared" si="3"/>
        <v>0.026557283540523766</v>
      </c>
      <c r="G31" s="9">
        <f t="shared" si="3"/>
        <v>0.027499731447935077</v>
      </c>
      <c r="H31" s="9">
        <f t="shared" si="3"/>
        <v>0.0053145671926848525</v>
      </c>
      <c r="I31" s="74">
        <f t="shared" si="3"/>
        <v>0.03195796941404812</v>
      </c>
      <c r="J31" s="137" t="e">
        <f t="shared" si="3"/>
        <v>#DIV/0!</v>
      </c>
      <c r="K31" s="9" t="e">
        <f t="shared" si="3"/>
        <v>#DIV/0!</v>
      </c>
      <c r="L31" s="9" t="e">
        <f t="shared" si="3"/>
        <v>#DIV/0!</v>
      </c>
      <c r="M31" s="9" t="e">
        <f t="shared" si="3"/>
        <v>#DIV/0!</v>
      </c>
      <c r="N31" s="9" t="e">
        <f t="shared" si="3"/>
        <v>#DIV/0!</v>
      </c>
      <c r="O31" s="9" t="e">
        <f t="shared" si="3"/>
        <v>#DIV/0!</v>
      </c>
    </row>
    <row r="32" spans="2:15" ht="12.75">
      <c r="B32" s="114" t="s">
        <v>17</v>
      </c>
      <c r="C32" s="611">
        <f>SUM(C20:C31)</f>
        <v>1</v>
      </c>
      <c r="D32" s="611">
        <f aca="true" t="shared" si="4" ref="D32:O32">SUM(D20:D31)</f>
        <v>1</v>
      </c>
      <c r="E32" s="611">
        <f t="shared" si="4"/>
        <v>1</v>
      </c>
      <c r="F32" s="611">
        <f t="shared" si="4"/>
        <v>1</v>
      </c>
      <c r="G32" s="611">
        <f t="shared" si="4"/>
        <v>1</v>
      </c>
      <c r="H32" s="611">
        <f t="shared" si="4"/>
        <v>1</v>
      </c>
      <c r="I32" s="612">
        <f t="shared" si="4"/>
        <v>0.9999999999999998</v>
      </c>
      <c r="J32" s="613" t="e">
        <f t="shared" si="4"/>
        <v>#DIV/0!</v>
      </c>
      <c r="K32" s="611" t="e">
        <f t="shared" si="4"/>
        <v>#DIV/0!</v>
      </c>
      <c r="L32" s="611" t="e">
        <f t="shared" si="4"/>
        <v>#DIV/0!</v>
      </c>
      <c r="M32" s="611" t="e">
        <f t="shared" si="4"/>
        <v>#DIV/0!</v>
      </c>
      <c r="N32" s="611" t="e">
        <f t="shared" si="4"/>
        <v>#DIV/0!</v>
      </c>
      <c r="O32" s="611" t="e">
        <f t="shared" si="4"/>
        <v>#DIV/0!</v>
      </c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2.75">
      <c r="B34" s="204" t="s">
        <v>201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2:15" ht="12.75">
      <c r="B35" s="12" t="s">
        <v>194</v>
      </c>
      <c r="C35" s="683">
        <v>584</v>
      </c>
      <c r="D35" s="683">
        <v>546</v>
      </c>
      <c r="E35" s="683">
        <v>879</v>
      </c>
      <c r="F35" s="683">
        <v>523</v>
      </c>
      <c r="G35" s="683">
        <v>115</v>
      </c>
      <c r="H35" s="683">
        <v>154</v>
      </c>
      <c r="I35" s="684">
        <v>256</v>
      </c>
      <c r="J35" s="587"/>
      <c r="K35" s="586"/>
      <c r="L35" s="586"/>
      <c r="M35" s="586"/>
      <c r="N35" s="586"/>
      <c r="O35" s="588"/>
    </row>
    <row r="36" spans="2:15" ht="12.75">
      <c r="B36" s="265" t="s">
        <v>195</v>
      </c>
      <c r="C36" s="685">
        <v>216</v>
      </c>
      <c r="D36" s="685">
        <v>225</v>
      </c>
      <c r="E36" s="685">
        <v>89</v>
      </c>
      <c r="F36" s="685">
        <v>432</v>
      </c>
      <c r="G36" s="685">
        <v>423</v>
      </c>
      <c r="H36" s="685">
        <v>799</v>
      </c>
      <c r="I36" s="686">
        <v>504</v>
      </c>
      <c r="J36" s="590"/>
      <c r="K36" s="589"/>
      <c r="L36" s="589"/>
      <c r="M36" s="589"/>
      <c r="N36" s="589"/>
      <c r="O36" s="591"/>
    </row>
    <row r="37" spans="2:15" ht="12.75">
      <c r="B37" s="14" t="s">
        <v>203</v>
      </c>
      <c r="C37" s="687"/>
      <c r="D37" s="687">
        <v>87</v>
      </c>
      <c r="E37" s="687">
        <f aca="true" t="shared" si="5" ref="E37:O37">D35+E36-E35</f>
        <v>-244</v>
      </c>
      <c r="F37" s="687">
        <f t="shared" si="5"/>
        <v>788</v>
      </c>
      <c r="G37" s="687">
        <f t="shared" si="5"/>
        <v>831</v>
      </c>
      <c r="H37" s="687">
        <f t="shared" si="5"/>
        <v>760</v>
      </c>
      <c r="I37" s="688">
        <f t="shared" si="5"/>
        <v>402</v>
      </c>
      <c r="J37" s="593"/>
      <c r="K37" s="592">
        <f t="shared" si="5"/>
        <v>0</v>
      </c>
      <c r="L37" s="592">
        <f t="shared" si="5"/>
        <v>0</v>
      </c>
      <c r="M37" s="592">
        <f t="shared" si="5"/>
        <v>0</v>
      </c>
      <c r="N37" s="592">
        <f t="shared" si="5"/>
        <v>0</v>
      </c>
      <c r="O37" s="594">
        <f t="shared" si="5"/>
        <v>0</v>
      </c>
    </row>
    <row r="38" spans="2:15" ht="12.75">
      <c r="B38" s="13" t="s">
        <v>212</v>
      </c>
      <c r="C38" s="683">
        <v>1146</v>
      </c>
      <c r="D38" s="683">
        <v>254646</v>
      </c>
      <c r="E38" s="683">
        <v>25664564</v>
      </c>
      <c r="F38" s="683">
        <v>270008744</v>
      </c>
      <c r="G38" s="683">
        <v>2122465553</v>
      </c>
      <c r="H38" s="683"/>
      <c r="I38" s="684"/>
      <c r="J38" s="587"/>
      <c r="K38" s="586"/>
      <c r="L38" s="586"/>
      <c r="M38" s="586"/>
      <c r="N38" s="586"/>
      <c r="O38" s="588"/>
    </row>
    <row r="39" spans="2:15" ht="12.75">
      <c r="B39" s="266" t="s">
        <v>213</v>
      </c>
      <c r="C39" s="689"/>
      <c r="D39" s="689"/>
      <c r="E39" s="689"/>
      <c r="F39" s="689"/>
      <c r="G39" s="689">
        <v>5421346466</v>
      </c>
      <c r="H39" s="689">
        <v>15456</v>
      </c>
      <c r="I39" s="690">
        <v>25478</v>
      </c>
      <c r="J39" s="596"/>
      <c r="K39" s="595"/>
      <c r="L39" s="595"/>
      <c r="M39" s="595"/>
      <c r="N39" s="595"/>
      <c r="O39" s="597"/>
    </row>
    <row r="40" spans="2:15" ht="12.75">
      <c r="B40" s="13" t="s">
        <v>214</v>
      </c>
      <c r="C40" s="683">
        <v>45566545</v>
      </c>
      <c r="D40" s="683">
        <v>33335554</v>
      </c>
      <c r="E40" s="683">
        <v>14555</v>
      </c>
      <c r="F40" s="683">
        <v>1254932</v>
      </c>
      <c r="G40" s="683">
        <v>624556</v>
      </c>
      <c r="H40" s="683"/>
      <c r="I40" s="684"/>
      <c r="J40" s="587"/>
      <c r="K40" s="586"/>
      <c r="L40" s="586"/>
      <c r="M40" s="586"/>
      <c r="N40" s="586"/>
      <c r="O40" s="588"/>
    </row>
    <row r="41" spans="2:15" ht="12.75">
      <c r="B41" s="266" t="s">
        <v>215</v>
      </c>
      <c r="C41" s="689"/>
      <c r="D41" s="689"/>
      <c r="E41" s="689"/>
      <c r="F41" s="689"/>
      <c r="G41" s="689">
        <v>32556335</v>
      </c>
      <c r="H41" s="689">
        <v>65656</v>
      </c>
      <c r="I41" s="690">
        <v>5454</v>
      </c>
      <c r="J41" s="596"/>
      <c r="K41" s="595"/>
      <c r="L41" s="595"/>
      <c r="M41" s="595"/>
      <c r="N41" s="595"/>
      <c r="O41" s="597"/>
    </row>
    <row r="42" spans="2:15" ht="12.75">
      <c r="B42" s="15" t="s">
        <v>196</v>
      </c>
      <c r="C42" s="691">
        <v>6666699</v>
      </c>
      <c r="D42" s="691">
        <v>342854</v>
      </c>
      <c r="E42" s="691">
        <v>32456</v>
      </c>
      <c r="F42" s="691">
        <v>16545454</v>
      </c>
      <c r="G42" s="691">
        <v>21535</v>
      </c>
      <c r="H42" s="691">
        <v>565688</v>
      </c>
      <c r="I42" s="692">
        <v>5483</v>
      </c>
      <c r="J42" s="599"/>
      <c r="K42" s="600"/>
      <c r="L42" s="600"/>
      <c r="M42" s="600"/>
      <c r="N42" s="600"/>
      <c r="O42" s="601"/>
    </row>
    <row r="43" spans="2:15" ht="12.75">
      <c r="B43" s="13" t="s">
        <v>197</v>
      </c>
      <c r="C43" s="683">
        <v>11545664</v>
      </c>
      <c r="D43" s="683">
        <v>234892</v>
      </c>
      <c r="E43" s="683">
        <v>545002</v>
      </c>
      <c r="F43" s="683">
        <v>131646</v>
      </c>
      <c r="G43" s="683">
        <v>22356</v>
      </c>
      <c r="H43" s="683">
        <v>366</v>
      </c>
      <c r="I43" s="684">
        <v>2556</v>
      </c>
      <c r="J43" s="587"/>
      <c r="K43" s="586"/>
      <c r="L43" s="586"/>
      <c r="M43" s="586"/>
      <c r="N43" s="586"/>
      <c r="O43" s="588"/>
    </row>
    <row r="44" spans="2:15" ht="12.75">
      <c r="B44" s="13" t="s">
        <v>216</v>
      </c>
      <c r="C44" s="683"/>
      <c r="D44" s="683"/>
      <c r="E44" s="683"/>
      <c r="F44" s="683">
        <v>154635466</v>
      </c>
      <c r="G44" s="683">
        <v>265446</v>
      </c>
      <c r="H44" s="683"/>
      <c r="I44" s="684"/>
      <c r="J44" s="587"/>
      <c r="K44" s="586"/>
      <c r="L44" s="586"/>
      <c r="M44" s="586"/>
      <c r="N44" s="586"/>
      <c r="O44" s="588"/>
    </row>
    <row r="45" spans="2:15" ht="12.75">
      <c r="B45" s="266" t="s">
        <v>217</v>
      </c>
      <c r="C45" s="689"/>
      <c r="D45" s="689"/>
      <c r="E45" s="689"/>
      <c r="F45" s="689"/>
      <c r="G45" s="689">
        <v>5550</v>
      </c>
      <c r="H45" s="689">
        <v>2165</v>
      </c>
      <c r="I45" s="690">
        <v>1548</v>
      </c>
      <c r="J45" s="596"/>
      <c r="K45" s="595"/>
      <c r="L45" s="595"/>
      <c r="M45" s="595"/>
      <c r="N45" s="595"/>
      <c r="O45" s="597"/>
    </row>
    <row r="46" spans="2:15" ht="12.75">
      <c r="B46" s="13" t="s">
        <v>219</v>
      </c>
      <c r="C46" s="683"/>
      <c r="D46" s="683"/>
      <c r="E46" s="683"/>
      <c r="F46" s="683"/>
      <c r="G46" s="683">
        <v>1455877</v>
      </c>
      <c r="H46" s="683">
        <v>65645</v>
      </c>
      <c r="I46" s="684">
        <v>55544221</v>
      </c>
      <c r="J46" s="587"/>
      <c r="K46" s="586"/>
      <c r="L46" s="586"/>
      <c r="M46" s="586"/>
      <c r="N46" s="586"/>
      <c r="O46" s="588"/>
    </row>
    <row r="47" spans="2:15" ht="12.75">
      <c r="B47" s="266" t="s">
        <v>218</v>
      </c>
      <c r="C47" s="689"/>
      <c r="D47" s="689"/>
      <c r="E47" s="689"/>
      <c r="F47" s="689"/>
      <c r="G47" s="689"/>
      <c r="H47" s="689"/>
      <c r="I47" s="690">
        <v>446468</v>
      </c>
      <c r="J47" s="596"/>
      <c r="K47" s="595"/>
      <c r="L47" s="595"/>
      <c r="M47" s="595"/>
      <c r="N47" s="595"/>
      <c r="O47" s="597"/>
    </row>
    <row r="48" spans="2:15" ht="12.75">
      <c r="B48" s="16" t="s">
        <v>199</v>
      </c>
      <c r="C48" s="693">
        <v>66956456</v>
      </c>
      <c r="D48" s="693">
        <v>16598</v>
      </c>
      <c r="E48" s="693">
        <v>5455</v>
      </c>
      <c r="F48" s="693">
        <v>14545</v>
      </c>
      <c r="G48" s="693">
        <v>448</v>
      </c>
      <c r="H48" s="693">
        <v>154</v>
      </c>
      <c r="I48" s="653">
        <v>134</v>
      </c>
      <c r="J48" s="697"/>
      <c r="K48" s="602"/>
      <c r="L48" s="602"/>
      <c r="M48" s="602"/>
      <c r="N48" s="602"/>
      <c r="O48" s="603"/>
    </row>
    <row r="49" spans="2:15" ht="12.75">
      <c r="B49" s="17" t="s">
        <v>200</v>
      </c>
      <c r="C49" s="691">
        <v>65683</v>
      </c>
      <c r="D49" s="691">
        <v>6365</v>
      </c>
      <c r="E49" s="691">
        <v>125</v>
      </c>
      <c r="F49" s="691">
        <v>1248</v>
      </c>
      <c r="G49" s="691">
        <v>1534</v>
      </c>
      <c r="H49" s="691">
        <v>6454</v>
      </c>
      <c r="I49" s="692">
        <v>54848</v>
      </c>
      <c r="J49" s="698"/>
      <c r="K49" s="598" t="e">
        <f>K14/'Price Indices'!K38</f>
        <v>#DIV/0!</v>
      </c>
      <c r="L49" s="598" t="e">
        <f>L14/'Price Indices'!L38</f>
        <v>#DIV/0!</v>
      </c>
      <c r="M49" s="598" t="e">
        <f>M14/'Price Indices'!M38</f>
        <v>#DIV/0!</v>
      </c>
      <c r="N49" s="598" t="e">
        <f>N14/'Price Indices'!N38</f>
        <v>#DIV/0!</v>
      </c>
      <c r="O49" s="604" t="e">
        <f>O14/'Price Indices'!O38</f>
        <v>#DIV/0!</v>
      </c>
    </row>
    <row r="50" spans="2:15" ht="12.75">
      <c r="B50" s="267" t="s">
        <v>15</v>
      </c>
      <c r="C50" s="674">
        <v>23568</v>
      </c>
      <c r="D50" s="674">
        <v>1648</v>
      </c>
      <c r="E50" s="674">
        <v>4523</v>
      </c>
      <c r="F50" s="674">
        <v>9953</v>
      </c>
      <c r="G50" s="674">
        <v>2489</v>
      </c>
      <c r="H50" s="674">
        <v>6979</v>
      </c>
      <c r="I50" s="694">
        <f>I13/'Price Indices'!I38</f>
        <v>0</v>
      </c>
      <c r="J50" s="699"/>
      <c r="K50" s="605" t="e">
        <f>K13/'Price Indices'!K38</f>
        <v>#DIV/0!</v>
      </c>
      <c r="L50" s="605" t="e">
        <f>L13/'Price Indices'!L38</f>
        <v>#DIV/0!</v>
      </c>
      <c r="M50" s="605" t="e">
        <f>M13/'Price Indices'!M38</f>
        <v>#DIV/0!</v>
      </c>
      <c r="N50" s="605" t="e">
        <f>N13/'Price Indices'!N38</f>
        <v>#DIV/0!</v>
      </c>
      <c r="O50" s="606" t="e">
        <f>O13/'Price Indices'!O38</f>
        <v>#DIV/0!</v>
      </c>
    </row>
    <row r="51" spans="2:15" ht="12.75">
      <c r="B51" s="18" t="s">
        <v>205</v>
      </c>
      <c r="C51" s="695">
        <v>98532</v>
      </c>
      <c r="D51" s="695">
        <v>5784</v>
      </c>
      <c r="E51" s="695">
        <v>5468</v>
      </c>
      <c r="F51" s="695">
        <v>6549</v>
      </c>
      <c r="G51" s="695">
        <v>4893</v>
      </c>
      <c r="H51" s="695">
        <v>4457</v>
      </c>
      <c r="I51" s="696">
        <v>216565</v>
      </c>
      <c r="J51" s="700"/>
      <c r="K51" s="350" t="e">
        <f>K15/'Price Indices'!K38</f>
        <v>#DIV/0!</v>
      </c>
      <c r="L51" s="350" t="e">
        <f>L15/'Price Indices'!L38</f>
        <v>#DIV/0!</v>
      </c>
      <c r="M51" s="350" t="e">
        <f>M15/'Price Indices'!M38</f>
        <v>#DIV/0!</v>
      </c>
      <c r="N51" s="350" t="e">
        <f>N15/'Price Indices'!N38</f>
        <v>#DIV/0!</v>
      </c>
      <c r="O51" s="607" t="e">
        <f>O15/'Price Indices'!O38</f>
        <v>#DIV/0!</v>
      </c>
    </row>
    <row r="52" spans="2:15" ht="12.75">
      <c r="B5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"/>
    </row>
    <row r="53" spans="2:15" ht="12.75">
      <c r="B53" s="20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</row>
    <row r="54" spans="2:15" ht="12.75">
      <c r="B54" s="204" t="s">
        <v>202</v>
      </c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</row>
    <row r="55" spans="2:15" ht="12.75">
      <c r="B55" s="23" t="s">
        <v>194</v>
      </c>
      <c r="C55" s="23">
        <v>1</v>
      </c>
      <c r="D55" s="24">
        <f>D35/C35</f>
        <v>0.934931506849315</v>
      </c>
      <c r="E55" s="24">
        <f aca="true" t="shared" si="6" ref="E55:O55">E35/D35</f>
        <v>1.60989010989011</v>
      </c>
      <c r="F55" s="24">
        <f t="shared" si="6"/>
        <v>0.5949943117178612</v>
      </c>
      <c r="G55" s="24">
        <f t="shared" si="6"/>
        <v>0.2198852772466539</v>
      </c>
      <c r="H55" s="23">
        <f t="shared" si="6"/>
        <v>1.3391304347826087</v>
      </c>
      <c r="I55" s="250">
        <f t="shared" si="6"/>
        <v>1.6623376623376624</v>
      </c>
      <c r="J55" s="245">
        <f t="shared" si="6"/>
        <v>0</v>
      </c>
      <c r="K55" s="23" t="e">
        <f t="shared" si="6"/>
        <v>#DIV/0!</v>
      </c>
      <c r="L55" s="23" t="e">
        <f t="shared" si="6"/>
        <v>#DIV/0!</v>
      </c>
      <c r="M55" s="23" t="e">
        <f t="shared" si="6"/>
        <v>#DIV/0!</v>
      </c>
      <c r="N55" s="23" t="e">
        <f t="shared" si="6"/>
        <v>#DIV/0!</v>
      </c>
      <c r="O55" s="23" t="e">
        <f t="shared" si="6"/>
        <v>#DIV/0!</v>
      </c>
    </row>
    <row r="56" spans="2:15" ht="12.75">
      <c r="B56" s="25" t="s">
        <v>204</v>
      </c>
      <c r="C56" s="26">
        <v>1</v>
      </c>
      <c r="D56" s="26">
        <f>(D38+D40)/(C38+C40)</f>
        <v>0.7371494860250873</v>
      </c>
      <c r="E56" s="26">
        <f>(E38+E40)/(D38+D40)</f>
        <v>0.7644824681008151</v>
      </c>
      <c r="F56" s="26">
        <f>(F38+F40)/(E38+E40)</f>
        <v>10.563589662090822</v>
      </c>
      <c r="G56" s="26">
        <f>(G38+G40)/(F38+F40)</f>
        <v>7.82666570145573</v>
      </c>
      <c r="H56" s="25">
        <f>(H39+H41+H42)/(G39+G41+G42)</f>
        <v>0.00011859350444791356</v>
      </c>
      <c r="I56" s="251">
        <f>(I39+I41+I42)/(H39+H41+H42)</f>
        <v>0.056300247371675945</v>
      </c>
      <c r="J56" s="246">
        <f aca="true" t="shared" si="7" ref="J56:O56">(J39+J41)/(I39+I41)</f>
        <v>0</v>
      </c>
      <c r="K56" s="25" t="e">
        <f t="shared" si="7"/>
        <v>#DIV/0!</v>
      </c>
      <c r="L56" s="25" t="e">
        <f t="shared" si="7"/>
        <v>#DIV/0!</v>
      </c>
      <c r="M56" s="25" t="e">
        <f t="shared" si="7"/>
        <v>#DIV/0!</v>
      </c>
      <c r="N56" s="25" t="e">
        <f t="shared" si="7"/>
        <v>#DIV/0!</v>
      </c>
      <c r="O56" s="25" t="e">
        <f t="shared" si="7"/>
        <v>#DIV/0!</v>
      </c>
    </row>
    <row r="57" spans="2:15" ht="12.75">
      <c r="B57" s="25" t="s">
        <v>207</v>
      </c>
      <c r="C57" s="25">
        <v>1</v>
      </c>
      <c r="D57" s="25">
        <f aca="true" t="shared" si="8" ref="D57:O57">(D48)/(C48)</f>
        <v>0.0002478924511775235</v>
      </c>
      <c r="E57" s="25">
        <f t="shared" si="8"/>
        <v>0.32865405470538617</v>
      </c>
      <c r="F57" s="25">
        <f t="shared" si="8"/>
        <v>2.666361136571952</v>
      </c>
      <c r="G57" s="25">
        <f t="shared" si="8"/>
        <v>0.030800962530079065</v>
      </c>
      <c r="H57" s="25">
        <f t="shared" si="8"/>
        <v>0.34375</v>
      </c>
      <c r="I57" s="251">
        <f t="shared" si="8"/>
        <v>0.8701298701298701</v>
      </c>
      <c r="J57" s="246">
        <f t="shared" si="8"/>
        <v>0</v>
      </c>
      <c r="K57" s="25" t="e">
        <f t="shared" si="8"/>
        <v>#DIV/0!</v>
      </c>
      <c r="L57" s="25" t="e">
        <f t="shared" si="8"/>
        <v>#DIV/0!</v>
      </c>
      <c r="M57" s="25" t="e">
        <f t="shared" si="8"/>
        <v>#DIV/0!</v>
      </c>
      <c r="N57" s="25" t="e">
        <f t="shared" si="8"/>
        <v>#DIV/0!</v>
      </c>
      <c r="O57" s="25" t="e">
        <f t="shared" si="8"/>
        <v>#DIV/0!</v>
      </c>
    </row>
    <row r="58" spans="2:15" ht="12.75">
      <c r="B58" s="25" t="s">
        <v>208</v>
      </c>
      <c r="C58" s="25">
        <v>1</v>
      </c>
      <c r="D58" s="25">
        <f>D43/C43</f>
        <v>0.02034460729153386</v>
      </c>
      <c r="E58" s="25">
        <f aca="true" t="shared" si="9" ref="E58:O58">E43/D43</f>
        <v>2.3202237624099586</v>
      </c>
      <c r="F58" s="25">
        <f t="shared" si="9"/>
        <v>0.24155140715079945</v>
      </c>
      <c r="G58" s="25">
        <f t="shared" si="9"/>
        <v>0.16981906020691856</v>
      </c>
      <c r="H58" s="25">
        <f t="shared" si="9"/>
        <v>0.01637144390767579</v>
      </c>
      <c r="I58" s="251">
        <f t="shared" si="9"/>
        <v>6.983606557377049</v>
      </c>
      <c r="J58" s="246">
        <f t="shared" si="9"/>
        <v>0</v>
      </c>
      <c r="K58" s="25" t="e">
        <f t="shared" si="9"/>
        <v>#DIV/0!</v>
      </c>
      <c r="L58" s="25" t="e">
        <f t="shared" si="9"/>
        <v>#DIV/0!</v>
      </c>
      <c r="M58" s="25" t="e">
        <f t="shared" si="9"/>
        <v>#DIV/0!</v>
      </c>
      <c r="N58" s="25" t="e">
        <f t="shared" si="9"/>
        <v>#DIV/0!</v>
      </c>
      <c r="O58" s="25" t="e">
        <f t="shared" si="9"/>
        <v>#DIV/0!</v>
      </c>
    </row>
    <row r="59" spans="2:15" ht="12.75">
      <c r="B59" s="25" t="s">
        <v>209</v>
      </c>
      <c r="C59" s="25">
        <v>1</v>
      </c>
      <c r="D59" s="25"/>
      <c r="E59" s="25"/>
      <c r="F59" s="25"/>
      <c r="G59" s="25">
        <f>G44/F44</f>
        <v>0.0017165919750906302</v>
      </c>
      <c r="H59" s="25">
        <f>H45/G45</f>
        <v>0.3900900900900901</v>
      </c>
      <c r="I59" s="251">
        <f aca="true" t="shared" si="10" ref="I59:O59">I45/H45</f>
        <v>0.7150115473441109</v>
      </c>
      <c r="J59" s="246">
        <f t="shared" si="10"/>
        <v>0</v>
      </c>
      <c r="K59" s="25" t="e">
        <f t="shared" si="10"/>
        <v>#DIV/0!</v>
      </c>
      <c r="L59" s="25" t="e">
        <f t="shared" si="10"/>
        <v>#DIV/0!</v>
      </c>
      <c r="M59" s="25" t="e">
        <f t="shared" si="10"/>
        <v>#DIV/0!</v>
      </c>
      <c r="N59" s="25" t="e">
        <f t="shared" si="10"/>
        <v>#DIV/0!</v>
      </c>
      <c r="O59" s="25" t="e">
        <f t="shared" si="10"/>
        <v>#DIV/0!</v>
      </c>
    </row>
    <row r="60" spans="2:15" ht="12.75">
      <c r="B60" s="25" t="s">
        <v>198</v>
      </c>
      <c r="C60" s="25">
        <v>1</v>
      </c>
      <c r="D60" s="25"/>
      <c r="E60" s="25"/>
      <c r="F60" s="25"/>
      <c r="G60" s="25"/>
      <c r="H60" s="25">
        <f>H46/G46</f>
        <v>0.04508966073370209</v>
      </c>
      <c r="I60" s="251">
        <f>I46/H46</f>
        <v>846.1302612537131</v>
      </c>
      <c r="J60" s="246">
        <f aca="true" t="shared" si="11" ref="J60:O60">J47/I47</f>
        <v>0</v>
      </c>
      <c r="K60" s="25" t="e">
        <f t="shared" si="11"/>
        <v>#DIV/0!</v>
      </c>
      <c r="L60" s="25" t="e">
        <f t="shared" si="11"/>
        <v>#DIV/0!</v>
      </c>
      <c r="M60" s="25" t="e">
        <f t="shared" si="11"/>
        <v>#DIV/0!</v>
      </c>
      <c r="N60" s="25" t="e">
        <f t="shared" si="11"/>
        <v>#DIV/0!</v>
      </c>
      <c r="O60" s="25" t="e">
        <f t="shared" si="11"/>
        <v>#DIV/0!</v>
      </c>
    </row>
    <row r="61" spans="2:15" ht="12.75">
      <c r="B61" s="25" t="s">
        <v>200</v>
      </c>
      <c r="C61" s="25">
        <v>1</v>
      </c>
      <c r="D61" s="25">
        <f>D49/C49</f>
        <v>0.09690483077813133</v>
      </c>
      <c r="E61" s="25">
        <f aca="true" t="shared" si="12" ref="E61:O61">E49/D49</f>
        <v>0.019638648860958365</v>
      </c>
      <c r="F61" s="25">
        <f t="shared" si="12"/>
        <v>9.984</v>
      </c>
      <c r="G61" s="25">
        <f t="shared" si="12"/>
        <v>1.2291666666666667</v>
      </c>
      <c r="H61" s="25">
        <f t="shared" si="12"/>
        <v>4.207301173402868</v>
      </c>
      <c r="I61" s="251">
        <f t="shared" si="12"/>
        <v>8.498295630616672</v>
      </c>
      <c r="J61" s="246">
        <f t="shared" si="12"/>
        <v>0</v>
      </c>
      <c r="K61" s="25" t="e">
        <f t="shared" si="12"/>
        <v>#DIV/0!</v>
      </c>
      <c r="L61" s="25" t="e">
        <f t="shared" si="12"/>
        <v>#DIV/0!</v>
      </c>
      <c r="M61" s="25" t="e">
        <f t="shared" si="12"/>
        <v>#DIV/0!</v>
      </c>
      <c r="N61" s="25" t="e">
        <f t="shared" si="12"/>
        <v>#DIV/0!</v>
      </c>
      <c r="O61" s="25" t="e">
        <f t="shared" si="12"/>
        <v>#DIV/0!</v>
      </c>
    </row>
    <row r="62" spans="2:15" ht="12.75">
      <c r="B62" s="25" t="s">
        <v>210</v>
      </c>
      <c r="C62" s="25">
        <v>1</v>
      </c>
      <c r="D62" s="25">
        <f>D50/C50</f>
        <v>0.06992532247114731</v>
      </c>
      <c r="E62" s="25">
        <f aca="true" t="shared" si="13" ref="E62:O62">E50/D50</f>
        <v>2.7445388349514563</v>
      </c>
      <c r="F62" s="25">
        <f t="shared" si="13"/>
        <v>2.200530621269069</v>
      </c>
      <c r="G62" s="25">
        <f t="shared" si="13"/>
        <v>0.2500753541645735</v>
      </c>
      <c r="H62" s="25">
        <f t="shared" si="13"/>
        <v>2.803937324226597</v>
      </c>
      <c r="I62" s="251">
        <f t="shared" si="13"/>
        <v>0</v>
      </c>
      <c r="J62" s="251">
        <v>0</v>
      </c>
      <c r="K62" s="25" t="e">
        <f t="shared" si="13"/>
        <v>#DIV/0!</v>
      </c>
      <c r="L62" s="25" t="e">
        <f t="shared" si="13"/>
        <v>#DIV/0!</v>
      </c>
      <c r="M62" s="25" t="e">
        <f t="shared" si="13"/>
        <v>#DIV/0!</v>
      </c>
      <c r="N62" s="25" t="e">
        <f t="shared" si="13"/>
        <v>#DIV/0!</v>
      </c>
      <c r="O62" s="25" t="e">
        <f t="shared" si="13"/>
        <v>#DIV/0!</v>
      </c>
    </row>
    <row r="63" spans="2:15" ht="12.75">
      <c r="B63" s="27" t="s">
        <v>205</v>
      </c>
      <c r="C63" s="27">
        <v>1</v>
      </c>
      <c r="D63" s="27">
        <f>D51/C51</f>
        <v>0.05870174156619169</v>
      </c>
      <c r="E63" s="27">
        <f aca="true" t="shared" si="14" ref="E63:O63">E51/D51</f>
        <v>0.9453665283540802</v>
      </c>
      <c r="F63" s="27">
        <f t="shared" si="14"/>
        <v>1.1976956839795172</v>
      </c>
      <c r="G63" s="27">
        <f t="shared" si="14"/>
        <v>0.7471369674759505</v>
      </c>
      <c r="H63" s="27">
        <f t="shared" si="14"/>
        <v>0.9108931126098508</v>
      </c>
      <c r="I63" s="252">
        <f t="shared" si="14"/>
        <v>48.58985864931568</v>
      </c>
      <c r="J63" s="247">
        <f t="shared" si="14"/>
        <v>0</v>
      </c>
      <c r="K63" s="27" t="e">
        <f t="shared" si="14"/>
        <v>#DIV/0!</v>
      </c>
      <c r="L63" s="27" t="e">
        <f t="shared" si="14"/>
        <v>#DIV/0!</v>
      </c>
      <c r="M63" s="27" t="e">
        <f t="shared" si="14"/>
        <v>#DIV/0!</v>
      </c>
      <c r="N63" s="27" t="e">
        <f t="shared" si="14"/>
        <v>#DIV/0!</v>
      </c>
      <c r="O63" s="27" t="e">
        <f t="shared" si="14"/>
        <v>#DIV/0!</v>
      </c>
    </row>
    <row r="64" spans="2:15" ht="12.75">
      <c r="B64" s="20"/>
      <c r="C64" s="21"/>
      <c r="D64" s="21"/>
      <c r="E64" s="21"/>
      <c r="F64" s="21"/>
      <c r="G64" s="21"/>
      <c r="H64" s="21"/>
      <c r="I64" s="21"/>
      <c r="J64" s="22"/>
      <c r="K64" s="22"/>
      <c r="L64" s="22"/>
      <c r="M64" s="22"/>
      <c r="N64" s="22"/>
      <c r="O64" s="22"/>
    </row>
    <row r="65" spans="2:15" ht="12.75">
      <c r="B65" s="204" t="s">
        <v>206</v>
      </c>
      <c r="C65" s="21"/>
      <c r="D65" s="21"/>
      <c r="E65" s="21"/>
      <c r="F65" s="21"/>
      <c r="G65" s="21"/>
      <c r="H65" s="21"/>
      <c r="I65" s="21"/>
      <c r="J65" s="22"/>
      <c r="K65" s="22"/>
      <c r="L65" s="22"/>
      <c r="M65" s="22"/>
      <c r="N65" s="22"/>
      <c r="O65" s="22"/>
    </row>
    <row r="66" spans="2:15" ht="12.75">
      <c r="B66" s="28" t="s">
        <v>194</v>
      </c>
      <c r="C66" s="8">
        <f>C25+C24</f>
        <v>0.003783858735940525</v>
      </c>
      <c r="D66" s="8">
        <f>D25+D24+D27+D28</f>
        <v>0.2803869480226555</v>
      </c>
      <c r="E66" s="8">
        <f>E25+E24+E27+E28</f>
        <v>0.7724668882171983</v>
      </c>
      <c r="F66" s="8">
        <f>F25+F24+F27+F28</f>
        <v>0.30900733135370007</v>
      </c>
      <c r="G66" s="8">
        <f>G25+G24+G28</f>
        <v>0.025673577406470638</v>
      </c>
      <c r="H66" s="8">
        <f aca="true" t="shared" si="15" ref="H66:O66">H25+H24</f>
        <v>0.1356714229843634</v>
      </c>
      <c r="I66" s="87">
        <f t="shared" si="15"/>
        <v>0.014442038234830125</v>
      </c>
      <c r="J66" s="244" t="e">
        <f t="shared" si="15"/>
        <v>#DIV/0!</v>
      </c>
      <c r="K66" s="8" t="e">
        <f t="shared" si="15"/>
        <v>#DIV/0!</v>
      </c>
      <c r="L66" s="8" t="e">
        <f t="shared" si="15"/>
        <v>#DIV/0!</v>
      </c>
      <c r="M66" s="8" t="e">
        <f t="shared" si="15"/>
        <v>#DIV/0!</v>
      </c>
      <c r="N66" s="8" t="e">
        <f t="shared" si="15"/>
        <v>#DIV/0!</v>
      </c>
      <c r="O66" s="8" t="e">
        <f t="shared" si="15"/>
        <v>#DIV/0!</v>
      </c>
    </row>
    <row r="67" spans="2:15" ht="12.75">
      <c r="B67" s="29" t="s">
        <v>260</v>
      </c>
      <c r="C67" s="9">
        <f>C20</f>
        <v>0.008338355368066258</v>
      </c>
      <c r="D67" s="9">
        <f aca="true" t="shared" si="16" ref="D67:O67">D20</f>
        <v>0.03874492506641271</v>
      </c>
      <c r="E67" s="9">
        <f t="shared" si="16"/>
        <v>0.0600001073750557</v>
      </c>
      <c r="F67" s="9">
        <f t="shared" si="16"/>
        <v>0.00335531061788045</v>
      </c>
      <c r="G67" s="9">
        <f t="shared" si="16"/>
        <v>0.3102899385748186</v>
      </c>
      <c r="H67" s="9">
        <f t="shared" si="16"/>
        <v>0.13091830442512697</v>
      </c>
      <c r="I67" s="74">
        <f t="shared" si="16"/>
        <v>0.4709701167888097</v>
      </c>
      <c r="J67" s="137" t="e">
        <f t="shared" si="16"/>
        <v>#DIV/0!</v>
      </c>
      <c r="K67" s="9" t="e">
        <f t="shared" si="16"/>
        <v>#DIV/0!</v>
      </c>
      <c r="L67" s="9" t="e">
        <f t="shared" si="16"/>
        <v>#DIV/0!</v>
      </c>
      <c r="M67" s="9" t="e">
        <f t="shared" si="16"/>
        <v>#DIV/0!</v>
      </c>
      <c r="N67" s="9" t="e">
        <f t="shared" si="16"/>
        <v>#DIV/0!</v>
      </c>
      <c r="O67" s="9" t="e">
        <f t="shared" si="16"/>
        <v>#DIV/0!</v>
      </c>
    </row>
    <row r="68" spans="2:15" ht="12.75">
      <c r="B68" s="29" t="s">
        <v>261</v>
      </c>
      <c r="C68" s="25">
        <f>C22+C23+C26</f>
        <v>0.008671676257419722</v>
      </c>
      <c r="D68" s="25">
        <f aca="true" t="shared" si="17" ref="D68:I68">D22+D23+D26</f>
        <v>0.5277680316776101</v>
      </c>
      <c r="E68" s="25">
        <f t="shared" si="17"/>
        <v>0.08057209429677391</v>
      </c>
      <c r="F68" s="25">
        <f t="shared" si="17"/>
        <v>0.5327562199070579</v>
      </c>
      <c r="G68" s="25">
        <f t="shared" si="17"/>
        <v>0.06017519360162499</v>
      </c>
      <c r="H68" s="25">
        <f t="shared" si="17"/>
        <v>0.04100494506680999</v>
      </c>
      <c r="I68" s="251">
        <f t="shared" si="17"/>
        <v>0.03342081737825137</v>
      </c>
      <c r="J68" s="137" t="e">
        <f aca="true" t="shared" si="18" ref="J68:O68">J23+J26</f>
        <v>#DIV/0!</v>
      </c>
      <c r="K68" s="9" t="e">
        <f t="shared" si="18"/>
        <v>#DIV/0!</v>
      </c>
      <c r="L68" s="9" t="e">
        <f t="shared" si="18"/>
        <v>#DIV/0!</v>
      </c>
      <c r="M68" s="9" t="e">
        <f t="shared" si="18"/>
        <v>#DIV/0!</v>
      </c>
      <c r="N68" s="9" t="e">
        <f t="shared" si="18"/>
        <v>#DIV/0!</v>
      </c>
      <c r="O68" s="9" t="e">
        <f t="shared" si="18"/>
        <v>#DIV/0!</v>
      </c>
    </row>
    <row r="69" spans="2:15" ht="12.75">
      <c r="B69" s="29" t="s">
        <v>197</v>
      </c>
      <c r="C69" s="25">
        <f>C21</f>
        <v>0.0011386241580314334</v>
      </c>
      <c r="D69" s="25">
        <f aca="true" t="shared" si="19" ref="D69:I69">D21</f>
        <v>0.008746428750438575</v>
      </c>
      <c r="E69" s="25">
        <f t="shared" si="19"/>
        <v>0.00027273264148005774</v>
      </c>
      <c r="F69" s="25">
        <f t="shared" si="19"/>
        <v>0.0916503095274045</v>
      </c>
      <c r="G69" s="25">
        <f t="shared" si="19"/>
        <v>0.02385230612982295</v>
      </c>
      <c r="H69" s="25">
        <f t="shared" si="19"/>
        <v>0.0022889828902127986</v>
      </c>
      <c r="I69" s="251">
        <f t="shared" si="19"/>
        <v>0.017205195500547374</v>
      </c>
      <c r="J69" s="137" t="e">
        <f aca="true" t="shared" si="20" ref="J69:O69">J21+J22</f>
        <v>#DIV/0!</v>
      </c>
      <c r="K69" s="9" t="e">
        <f t="shared" si="20"/>
        <v>#DIV/0!</v>
      </c>
      <c r="L69" s="9" t="e">
        <f t="shared" si="20"/>
        <v>#DIV/0!</v>
      </c>
      <c r="M69" s="9" t="e">
        <f t="shared" si="20"/>
        <v>#DIV/0!</v>
      </c>
      <c r="N69" s="9" t="e">
        <f t="shared" si="20"/>
        <v>#DIV/0!</v>
      </c>
      <c r="O69" s="9" t="e">
        <f t="shared" si="20"/>
        <v>#DIV/0!</v>
      </c>
    </row>
    <row r="70" spans="2:15" ht="12.75">
      <c r="B70" s="30" t="s">
        <v>209</v>
      </c>
      <c r="C70" s="9">
        <f>C27</f>
        <v>0.8888548160868661</v>
      </c>
      <c r="D70" s="9"/>
      <c r="E70" s="9"/>
      <c r="F70" s="9"/>
      <c r="G70" s="9">
        <f aca="true" t="shared" si="21" ref="G70:O71">G27</f>
        <v>0.01584457183035322</v>
      </c>
      <c r="H70" s="9">
        <f t="shared" si="21"/>
        <v>0.06107793338915828</v>
      </c>
      <c r="I70" s="74">
        <f t="shared" si="21"/>
        <v>0.00010517207585774999</v>
      </c>
      <c r="J70" s="137" t="e">
        <f t="shared" si="21"/>
        <v>#DIV/0!</v>
      </c>
      <c r="K70" s="9" t="e">
        <f t="shared" si="21"/>
        <v>#DIV/0!</v>
      </c>
      <c r="L70" s="9" t="e">
        <f t="shared" si="21"/>
        <v>#DIV/0!</v>
      </c>
      <c r="M70" s="9" t="e">
        <f t="shared" si="21"/>
        <v>#DIV/0!</v>
      </c>
      <c r="N70" s="9" t="e">
        <f t="shared" si="21"/>
        <v>#DIV/0!</v>
      </c>
      <c r="O70" s="9" t="e">
        <f t="shared" si="21"/>
        <v>#DIV/0!</v>
      </c>
    </row>
    <row r="71" spans="2:15" ht="12.75">
      <c r="B71" s="30" t="s">
        <v>198</v>
      </c>
      <c r="C71" s="9">
        <f>C28</f>
        <v>0</v>
      </c>
      <c r="D71" s="9"/>
      <c r="E71" s="9"/>
      <c r="F71" s="9"/>
      <c r="G71" s="9"/>
      <c r="H71" s="9">
        <f t="shared" si="21"/>
        <v>0.0013316409895892068</v>
      </c>
      <c r="I71" s="74">
        <f t="shared" si="21"/>
        <v>0.31450753175479607</v>
      </c>
      <c r="J71" s="137" t="e">
        <f t="shared" si="21"/>
        <v>#DIV/0!</v>
      </c>
      <c r="K71" s="9" t="e">
        <f t="shared" si="21"/>
        <v>#DIV/0!</v>
      </c>
      <c r="L71" s="9" t="e">
        <f t="shared" si="21"/>
        <v>#DIV/0!</v>
      </c>
      <c r="M71" s="9" t="e">
        <f t="shared" si="21"/>
        <v>#DIV/0!</v>
      </c>
      <c r="N71" s="9" t="e">
        <f t="shared" si="21"/>
        <v>#DIV/0!</v>
      </c>
      <c r="O71" s="9" t="e">
        <f t="shared" si="21"/>
        <v>#DIV/0!</v>
      </c>
    </row>
    <row r="72" spans="2:15" ht="12.75">
      <c r="B72" s="30" t="s">
        <v>200</v>
      </c>
      <c r="C72" s="9">
        <f>C30</f>
        <v>0.08725674241494984</v>
      </c>
      <c r="D72" s="9">
        <f aca="true" t="shared" si="22" ref="D72:O72">D30</f>
        <v>0.0005012280086211218</v>
      </c>
      <c r="E72" s="9">
        <f t="shared" si="22"/>
        <v>0.0009502692429521698</v>
      </c>
      <c r="F72" s="9">
        <f t="shared" si="22"/>
        <v>0.0156357474793229</v>
      </c>
      <c r="G72" s="9">
        <f t="shared" si="22"/>
        <v>0.26183826329821</v>
      </c>
      <c r="H72" s="9">
        <f t="shared" si="22"/>
        <v>0.6114895424193637</v>
      </c>
      <c r="I72" s="74">
        <f t="shared" si="22"/>
        <v>0.11739115885285949</v>
      </c>
      <c r="J72" s="137" t="e">
        <f t="shared" si="22"/>
        <v>#DIV/0!</v>
      </c>
      <c r="K72" s="9" t="e">
        <f t="shared" si="22"/>
        <v>#DIV/0!</v>
      </c>
      <c r="L72" s="9" t="e">
        <f t="shared" si="22"/>
        <v>#DIV/0!</v>
      </c>
      <c r="M72" s="9" t="e">
        <f t="shared" si="22"/>
        <v>#DIV/0!</v>
      </c>
      <c r="N72" s="9" t="e">
        <f t="shared" si="22"/>
        <v>#DIV/0!</v>
      </c>
      <c r="O72" s="9" t="e">
        <f t="shared" si="22"/>
        <v>#DIV/0!</v>
      </c>
    </row>
    <row r="73" spans="2:15" ht="12.75">
      <c r="B73" s="30" t="s">
        <v>15</v>
      </c>
      <c r="C73" s="9">
        <f>C29</f>
        <v>0.0019265947404630227</v>
      </c>
      <c r="D73" s="9">
        <f aca="true" t="shared" si="23" ref="D73:O73">D29</f>
        <v>0.04902009924314571</v>
      </c>
      <c r="E73" s="9">
        <f t="shared" si="23"/>
        <v>0.001026505532499745</v>
      </c>
      <c r="F73" s="9">
        <f t="shared" si="23"/>
        <v>0.021037797574110423</v>
      </c>
      <c r="G73" s="9">
        <f t="shared" si="23"/>
        <v>0.27482641771076455</v>
      </c>
      <c r="H73" s="9">
        <f t="shared" si="23"/>
        <v>0.01090266064269073</v>
      </c>
      <c r="I73" s="74">
        <f t="shared" si="23"/>
        <v>0</v>
      </c>
      <c r="J73" s="137" t="e">
        <f t="shared" si="23"/>
        <v>#DIV/0!</v>
      </c>
      <c r="K73" s="9" t="e">
        <f t="shared" si="23"/>
        <v>#DIV/0!</v>
      </c>
      <c r="L73" s="9" t="e">
        <f t="shared" si="23"/>
        <v>#DIV/0!</v>
      </c>
      <c r="M73" s="9" t="e">
        <f t="shared" si="23"/>
        <v>#DIV/0!</v>
      </c>
      <c r="N73" s="9" t="e">
        <f t="shared" si="23"/>
        <v>#DIV/0!</v>
      </c>
      <c r="O73" s="9" t="e">
        <f t="shared" si="23"/>
        <v>#DIV/0!</v>
      </c>
    </row>
    <row r="74" spans="2:15" ht="12.75">
      <c r="B74" s="31" t="s">
        <v>205</v>
      </c>
      <c r="C74" s="32">
        <f>C31</f>
        <v>2.9332238263104843E-05</v>
      </c>
      <c r="D74" s="32">
        <f aca="true" t="shared" si="24" ref="D74:O74">D31</f>
        <v>0.09483233923111624</v>
      </c>
      <c r="E74" s="32">
        <f t="shared" si="24"/>
        <v>0.08471140269404015</v>
      </c>
      <c r="F74" s="32">
        <f t="shared" si="24"/>
        <v>0.026557283540523766</v>
      </c>
      <c r="G74" s="32">
        <f t="shared" si="24"/>
        <v>0.027499731447935077</v>
      </c>
      <c r="H74" s="32">
        <f t="shared" si="24"/>
        <v>0.0053145671926848525</v>
      </c>
      <c r="I74" s="253">
        <f t="shared" si="24"/>
        <v>0.03195796941404812</v>
      </c>
      <c r="J74" s="248" t="e">
        <f t="shared" si="24"/>
        <v>#DIV/0!</v>
      </c>
      <c r="K74" s="32" t="e">
        <f t="shared" si="24"/>
        <v>#DIV/0!</v>
      </c>
      <c r="L74" s="32" t="e">
        <f t="shared" si="24"/>
        <v>#DIV/0!</v>
      </c>
      <c r="M74" s="32" t="e">
        <f t="shared" si="24"/>
        <v>#DIV/0!</v>
      </c>
      <c r="N74" s="32" t="e">
        <f t="shared" si="24"/>
        <v>#DIV/0!</v>
      </c>
      <c r="O74" s="32" t="e">
        <f t="shared" si="24"/>
        <v>#DIV/0!</v>
      </c>
    </row>
    <row r="75" spans="2:15" ht="12.75">
      <c r="B75" s="99" t="s">
        <v>56</v>
      </c>
      <c r="C75" s="614">
        <f>SUM(C66:C74)</f>
        <v>1</v>
      </c>
      <c r="D75" s="614">
        <f>SUM(D66:D74)</f>
        <v>0.9999999999999999</v>
      </c>
      <c r="E75" s="614">
        <f>SUM(E66:E74)</f>
        <v>1</v>
      </c>
      <c r="F75" s="614">
        <f>SUM(F66:F74)</f>
        <v>1</v>
      </c>
      <c r="G75" s="614">
        <f aca="true" t="shared" si="25" ref="G75:O75">SUM(G66:G74)</f>
        <v>1</v>
      </c>
      <c r="H75" s="614">
        <f t="shared" si="25"/>
        <v>1</v>
      </c>
      <c r="I75" s="615">
        <f t="shared" si="25"/>
        <v>0.9999999999999999</v>
      </c>
      <c r="J75" s="616" t="e">
        <f t="shared" si="25"/>
        <v>#DIV/0!</v>
      </c>
      <c r="K75" s="614" t="e">
        <f t="shared" si="25"/>
        <v>#DIV/0!</v>
      </c>
      <c r="L75" s="614" t="e">
        <f t="shared" si="25"/>
        <v>#DIV/0!</v>
      </c>
      <c r="M75" s="614" t="e">
        <f t="shared" si="25"/>
        <v>#DIV/0!</v>
      </c>
      <c r="N75" s="614" t="e">
        <f t="shared" si="25"/>
        <v>#DIV/0!</v>
      </c>
      <c r="O75" s="614" t="e">
        <f t="shared" si="25"/>
        <v>#DIV/0!</v>
      </c>
    </row>
    <row r="76" spans="2:15" ht="12.75">
      <c r="B76" s="20"/>
      <c r="C76" s="21"/>
      <c r="D76" s="7"/>
      <c r="E76" s="7"/>
      <c r="F76" s="7"/>
      <c r="G76" s="7"/>
      <c r="H76" s="7"/>
      <c r="I76" s="7"/>
      <c r="J76" s="22"/>
      <c r="K76" s="22"/>
      <c r="L76" s="22"/>
      <c r="M76" s="22"/>
      <c r="N76" s="22"/>
      <c r="O76" s="22"/>
    </row>
    <row r="77" spans="2:15" ht="12.75">
      <c r="B77" s="204" t="s">
        <v>211</v>
      </c>
      <c r="C77" s="6"/>
      <c r="D77" s="7"/>
      <c r="E77" s="7"/>
      <c r="F77" s="7"/>
      <c r="G77" s="7"/>
      <c r="H77" s="7"/>
      <c r="I77" s="7"/>
      <c r="J77" s="6"/>
      <c r="K77" s="6"/>
      <c r="L77" s="6"/>
      <c r="M77" s="6"/>
      <c r="N77" s="6"/>
      <c r="O77" s="6"/>
    </row>
    <row r="78" spans="2:15" ht="12.75">
      <c r="B78" s="34" t="s">
        <v>1</v>
      </c>
      <c r="C78" s="551">
        <v>1</v>
      </c>
      <c r="D78" s="551">
        <f>C66*D55+C67*D56+C68*D57+C69*D58+C72*D61+C73*D62+C74*D63</f>
        <v>0.018301617097933345</v>
      </c>
      <c r="E78" s="551">
        <f>D66*E55+D67*E56+D68*E57+D69*E58+D72*E61+D73*E62+D74*E63</f>
        <v>0.8989574947042835</v>
      </c>
      <c r="F78" s="551">
        <f>E66*F55+E67*F56+E68*F57+E69*F58+E72*F61+E73*F62+E74*F63</f>
        <v>1.4215349247188667</v>
      </c>
      <c r="G78" s="551">
        <f>F66*G55+F67*G56+F68*G57+F69*G58+F70*G59+F72*G61+F73*G62+F74*G63</f>
        <v>0.17050233363334827</v>
      </c>
      <c r="H78" s="551">
        <f>SUMPRODUCT(G66:G74,H55:H63)</f>
        <v>1.9589513958847105</v>
      </c>
      <c r="I78" s="552">
        <f>SUMPRODUCT(H66:H74,I55:I63)</f>
        <v>6.909833573765491</v>
      </c>
      <c r="J78" s="553">
        <f aca="true" t="shared" si="26" ref="J78:O78">SUMPRODUCT(J55:J63,I66:I74)/SUMPRODUCT(I55:I63,I66:I74)</f>
        <v>0</v>
      </c>
      <c r="K78" s="551" t="e">
        <f t="shared" si="26"/>
        <v>#DIV/0!</v>
      </c>
      <c r="L78" s="551" t="e">
        <f t="shared" si="26"/>
        <v>#DIV/0!</v>
      </c>
      <c r="M78" s="551" t="e">
        <f t="shared" si="26"/>
        <v>#DIV/0!</v>
      </c>
      <c r="N78" s="551" t="e">
        <f t="shared" si="26"/>
        <v>#DIV/0!</v>
      </c>
      <c r="O78" s="551" t="e">
        <f t="shared" si="26"/>
        <v>#DIV/0!</v>
      </c>
    </row>
    <row r="79" spans="2:15" ht="12.75">
      <c r="B79" s="3" t="s">
        <v>2</v>
      </c>
      <c r="C79" s="554">
        <v>1</v>
      </c>
      <c r="D79" s="554">
        <f>D66*D55+D67*D56+D68*D57+D69*D58+D72*D61+D73*D62+D74*D63</f>
        <v>0.30005530691580895</v>
      </c>
      <c r="E79" s="554">
        <f>E66*E55+E67*E56+E68*E57+E69*E58+E72*E61+E73*E62+E74*E63</f>
        <v>1.3994882509522328</v>
      </c>
      <c r="F79" s="554">
        <f>F66*F55+F67*F56+F68*F57+F69*F58+F72*F61+F73*F62+F74*F63</f>
        <v>1.8961696347241794</v>
      </c>
      <c r="G79" s="554">
        <f>G66*G55+G67*G56+G68*G57+G69*G58+G70*G59+G72*G61+G73*G62+G74*G63</f>
        <v>2.851228335202488</v>
      </c>
      <c r="H79" s="554">
        <f>SUMPRODUCT(H66:H74,H55:H63)</f>
        <v>2.8278481704158933</v>
      </c>
      <c r="I79" s="555">
        <f>SUMPRODUCT(I66:I74,I55:I63)</f>
        <v>268.86463124385693</v>
      </c>
      <c r="J79" s="556" t="e">
        <f aca="true" t="shared" si="27" ref="J79:O79">SUMPRODUCT(J66:J74,J55:J63)/SUMPRODUCT(I55:I63,J66:J74)</f>
        <v>#DIV/0!</v>
      </c>
      <c r="K79" s="554" t="e">
        <f t="shared" si="27"/>
        <v>#DIV/0!</v>
      </c>
      <c r="L79" s="554" t="e">
        <f t="shared" si="27"/>
        <v>#DIV/0!</v>
      </c>
      <c r="M79" s="554" t="e">
        <f t="shared" si="27"/>
        <v>#DIV/0!</v>
      </c>
      <c r="N79" s="554" t="e">
        <f t="shared" si="27"/>
        <v>#DIV/0!</v>
      </c>
      <c r="O79" s="554" t="e">
        <f t="shared" si="27"/>
        <v>#DIV/0!</v>
      </c>
    </row>
    <row r="80" spans="2:15" ht="12.75">
      <c r="B80" s="3" t="s">
        <v>3</v>
      </c>
      <c r="C80" s="554">
        <v>1</v>
      </c>
      <c r="D80" s="554">
        <f>(D79*D78)^0.5</f>
        <v>0.07410463774539355</v>
      </c>
      <c r="E80" s="554">
        <f aca="true" t="shared" si="28" ref="E80:O80">(E79*E78)^0.5</f>
        <v>1.1216418554708534</v>
      </c>
      <c r="F80" s="554">
        <f t="shared" si="28"/>
        <v>1.6417890726131166</v>
      </c>
      <c r="G80" s="554">
        <f t="shared" si="28"/>
        <v>0.6972381837460931</v>
      </c>
      <c r="H80" s="554">
        <f t="shared" si="28"/>
        <v>2.3536391228874147</v>
      </c>
      <c r="I80" s="555">
        <f t="shared" si="28"/>
        <v>43.102318450019375</v>
      </c>
      <c r="J80" s="556" t="e">
        <f t="shared" si="28"/>
        <v>#DIV/0!</v>
      </c>
      <c r="K80" s="554" t="e">
        <f t="shared" si="28"/>
        <v>#DIV/0!</v>
      </c>
      <c r="L80" s="554" t="e">
        <f t="shared" si="28"/>
        <v>#DIV/0!</v>
      </c>
      <c r="M80" s="554" t="e">
        <f t="shared" si="28"/>
        <v>#DIV/0!</v>
      </c>
      <c r="N80" s="554" t="e">
        <f t="shared" si="28"/>
        <v>#DIV/0!</v>
      </c>
      <c r="O80" s="554" t="e">
        <f t="shared" si="28"/>
        <v>#DIV/0!</v>
      </c>
    </row>
    <row r="81" spans="2:15" ht="12.75">
      <c r="B81" s="3" t="s">
        <v>4</v>
      </c>
      <c r="C81" s="554">
        <v>1</v>
      </c>
      <c r="D81" s="554">
        <f>C81*D80</f>
        <v>0.07410463774539355</v>
      </c>
      <c r="E81" s="554">
        <f aca="true" t="shared" si="29" ref="E81:O81">D81*E80</f>
        <v>0.08311886337973866</v>
      </c>
      <c r="F81" s="554">
        <f t="shared" si="29"/>
        <v>0.13646364162487748</v>
      </c>
      <c r="G81" s="554">
        <f t="shared" si="29"/>
        <v>0.09514766163390732</v>
      </c>
      <c r="H81" s="554">
        <f t="shared" si="29"/>
        <v>0.22394325887281816</v>
      </c>
      <c r="I81" s="555">
        <f t="shared" si="29"/>
        <v>9.652473658671335</v>
      </c>
      <c r="J81" s="556" t="e">
        <f t="shared" si="29"/>
        <v>#DIV/0!</v>
      </c>
      <c r="K81" s="554" t="e">
        <f t="shared" si="29"/>
        <v>#DIV/0!</v>
      </c>
      <c r="L81" s="554" t="e">
        <f t="shared" si="29"/>
        <v>#DIV/0!</v>
      </c>
      <c r="M81" s="554" t="e">
        <f t="shared" si="29"/>
        <v>#DIV/0!</v>
      </c>
      <c r="N81" s="554" t="e">
        <f t="shared" si="29"/>
        <v>#DIV/0!</v>
      </c>
      <c r="O81" s="554" t="e">
        <f t="shared" si="29"/>
        <v>#DIV/0!</v>
      </c>
    </row>
    <row r="82" spans="2:15" ht="12.75">
      <c r="B82" s="234" t="s">
        <v>5</v>
      </c>
      <c r="C82" s="236"/>
      <c r="D82" s="236">
        <f>LN(D81/C81)</f>
        <v>-2.6022771609814885</v>
      </c>
      <c r="E82" s="236">
        <f aca="true" t="shared" si="30" ref="E82:O82">LN(E81/D81)</f>
        <v>0.11479355424709997</v>
      </c>
      <c r="F82" s="236">
        <f t="shared" si="30"/>
        <v>0.4957865451741726</v>
      </c>
      <c r="G82" s="236">
        <f t="shared" si="30"/>
        <v>-0.360628199558128</v>
      </c>
      <c r="H82" s="236">
        <f t="shared" si="30"/>
        <v>0.8559626932997134</v>
      </c>
      <c r="I82" s="243">
        <f t="shared" si="30"/>
        <v>3.763576788006783</v>
      </c>
      <c r="J82" s="235" t="e">
        <f t="shared" si="30"/>
        <v>#DIV/0!</v>
      </c>
      <c r="K82" s="236" t="e">
        <f t="shared" si="30"/>
        <v>#DIV/0!</v>
      </c>
      <c r="L82" s="236" t="e">
        <f t="shared" si="30"/>
        <v>#DIV/0!</v>
      </c>
      <c r="M82" s="236" t="e">
        <f t="shared" si="30"/>
        <v>#DIV/0!</v>
      </c>
      <c r="N82" s="236" t="e">
        <f t="shared" si="30"/>
        <v>#DIV/0!</v>
      </c>
      <c r="O82" s="236" t="e">
        <f t="shared" si="30"/>
        <v>#DIV/0!</v>
      </c>
    </row>
    <row r="83" spans="2:15" ht="12.75">
      <c r="B83" s="35" t="s">
        <v>18</v>
      </c>
      <c r="C83" s="36"/>
      <c r="D83" s="36">
        <f>AVERAGE($D$82:D82)</f>
        <v>-2.6022771609814885</v>
      </c>
      <c r="E83" s="36">
        <f>AVERAGE($D$82:E82)</f>
        <v>-1.2437418033671943</v>
      </c>
      <c r="F83" s="36">
        <f>AVERAGE($D$82:F82)</f>
        <v>-0.663899020520072</v>
      </c>
      <c r="G83" s="36">
        <f>AVERAGE($D$82:G82)</f>
        <v>-0.5880813152795861</v>
      </c>
      <c r="H83" s="36">
        <f>AVERAGE($D$82:H82)</f>
        <v>-0.29927251356372614</v>
      </c>
      <c r="I83" s="254">
        <f>AVERAGE($D$82:I82)</f>
        <v>0.37786903669802535</v>
      </c>
      <c r="J83" s="249" t="e">
        <f>AVERAGE($D$82:J82)</f>
        <v>#DIV/0!</v>
      </c>
      <c r="K83" s="36" t="e">
        <f>AVERAGE($D$82:K82)</f>
        <v>#DIV/0!</v>
      </c>
      <c r="L83" s="36" t="e">
        <f>AVERAGE($D$82:L82)</f>
        <v>#DIV/0!</v>
      </c>
      <c r="M83" s="36" t="e">
        <f>AVERAGE($D$82:M82)</f>
        <v>#DIV/0!</v>
      </c>
      <c r="N83" s="36" t="e">
        <f>AVERAGE($D$82:N82)</f>
        <v>#DIV/0!</v>
      </c>
      <c r="O83" s="36" t="e">
        <f>AVERAGE($D$82:O82)</f>
        <v>#DIV/0!</v>
      </c>
    </row>
  </sheetData>
  <printOptions/>
  <pageMargins left="0.75" right="0.75" top="1" bottom="1" header="0.5" footer="0.5"/>
  <pageSetup fitToHeight="1" fitToWidth="1" horizontalDpi="600" verticalDpi="600" orientation="landscape" paperSize="9" scale="43" r:id="rId1"/>
  <ignoredErrors>
    <ignoredError sqref="C17:I17 K17:O17" formulaRange="1"/>
    <ignoredError sqref="J20:O32 J78:O83 K49:O51 K55:O60 J66:O75 K61:O63 J61 J6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85" zoomScaleNormal="8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2" sqref="E32"/>
    </sheetView>
  </sheetViews>
  <sheetFormatPr defaultColWidth="9.140625" defaultRowHeight="12.75"/>
  <cols>
    <col min="1" max="1" width="3.7109375" style="42" customWidth="1"/>
    <col min="2" max="2" width="45.7109375" style="42" customWidth="1"/>
    <col min="3" max="9" width="9.28125" style="42" customWidth="1"/>
    <col min="10" max="10" width="59.28125" style="42" bestFit="1" customWidth="1"/>
    <col min="11" max="16384" width="11.421875" style="42" customWidth="1"/>
  </cols>
  <sheetData>
    <row r="1" ht="27" customHeight="1">
      <c r="B1" s="264" t="s">
        <v>159</v>
      </c>
    </row>
    <row r="3" spans="2:10" ht="12.75">
      <c r="B3" s="117" t="s">
        <v>254</v>
      </c>
      <c r="C3" s="38">
        <v>1998</v>
      </c>
      <c r="D3" s="38">
        <v>1999</v>
      </c>
      <c r="E3" s="38">
        <v>2000</v>
      </c>
      <c r="F3" s="38">
        <v>2001</v>
      </c>
      <c r="G3" s="38">
        <v>2002</v>
      </c>
      <c r="H3" s="38">
        <v>2003</v>
      </c>
      <c r="I3" s="38">
        <v>2004</v>
      </c>
      <c r="J3" s="38" t="s">
        <v>284</v>
      </c>
    </row>
    <row r="4" spans="2:10" ht="12.75">
      <c r="B4" s="43" t="s">
        <v>160</v>
      </c>
      <c r="C4" s="576">
        <v>142.92275574112736</v>
      </c>
      <c r="D4" s="576">
        <v>137.48174116272276</v>
      </c>
      <c r="E4" s="576">
        <v>149.51126221844453</v>
      </c>
      <c r="F4" s="576">
        <v>144.1</v>
      </c>
      <c r="G4" s="576">
        <v>122.20680083275504</v>
      </c>
      <c r="H4" s="576">
        <v>125.21294718909711</v>
      </c>
      <c r="I4" s="576">
        <v>120.36</v>
      </c>
      <c r="J4" s="237" t="s">
        <v>244</v>
      </c>
    </row>
    <row r="5" spans="2:10" ht="12.75">
      <c r="B5" s="44" t="s">
        <v>161</v>
      </c>
      <c r="C5" s="577">
        <v>127.29624838292366</v>
      </c>
      <c r="D5" s="577">
        <v>144.98644986449864</v>
      </c>
      <c r="E5" s="577">
        <v>159.5327102803738</v>
      </c>
      <c r="F5" s="577">
        <v>138.3</v>
      </c>
      <c r="G5" s="577">
        <v>115.47360809833694</v>
      </c>
      <c r="H5" s="577">
        <v>122.4170319348779</v>
      </c>
      <c r="I5" s="577">
        <v>127.42</v>
      </c>
      <c r="J5" s="29" t="s">
        <v>285</v>
      </c>
    </row>
    <row r="6" spans="2:10" ht="12.75">
      <c r="B6" s="44" t="s">
        <v>162</v>
      </c>
      <c r="C6" s="577">
        <v>110.58694459681841</v>
      </c>
      <c r="D6" s="577">
        <v>145.2876984126984</v>
      </c>
      <c r="E6" s="577">
        <v>125.05974735404577</v>
      </c>
      <c r="F6" s="577">
        <v>131.1</v>
      </c>
      <c r="G6" s="577">
        <v>119.2982456140351</v>
      </c>
      <c r="H6" s="577">
        <v>110.61381074168797</v>
      </c>
      <c r="I6" s="577">
        <v>135.38</v>
      </c>
      <c r="J6" s="29" t="s">
        <v>245</v>
      </c>
    </row>
    <row r="7" spans="2:10" ht="12.75">
      <c r="B7" s="44" t="s">
        <v>163</v>
      </c>
      <c r="C7" s="577">
        <v>135.79716373012462</v>
      </c>
      <c r="D7" s="577">
        <v>140.41139240506328</v>
      </c>
      <c r="E7" s="577">
        <v>151.9945909398242</v>
      </c>
      <c r="F7" s="577">
        <v>139.3</v>
      </c>
      <c r="G7" s="577">
        <v>120.6748025843503</v>
      </c>
      <c r="H7" s="577">
        <v>120.70196311719215</v>
      </c>
      <c r="I7" s="577">
        <v>118.58</v>
      </c>
      <c r="J7" s="29" t="s">
        <v>246</v>
      </c>
    </row>
    <row r="8" spans="2:10" ht="12.75">
      <c r="B8" s="44" t="s">
        <v>164</v>
      </c>
      <c r="C8" s="577">
        <v>135.79716373012462</v>
      </c>
      <c r="D8" s="577">
        <v>140.41139240506328</v>
      </c>
      <c r="E8" s="577">
        <v>151.9945909398242</v>
      </c>
      <c r="F8" s="577">
        <v>139.3</v>
      </c>
      <c r="G8" s="577">
        <v>120.6748025843503</v>
      </c>
      <c r="H8" s="577">
        <v>120.70196311719215</v>
      </c>
      <c r="I8" s="577">
        <v>118.58</v>
      </c>
      <c r="J8" s="29" t="s">
        <v>246</v>
      </c>
    </row>
    <row r="9" spans="2:10" ht="12.75">
      <c r="B9" s="44" t="s">
        <v>166</v>
      </c>
      <c r="C9" s="569">
        <v>100</v>
      </c>
      <c r="D9" s="569">
        <v>172.7</v>
      </c>
      <c r="E9" s="569">
        <v>135.8</v>
      </c>
      <c r="F9" s="569">
        <v>132.3</v>
      </c>
      <c r="G9" s="569">
        <v>116.7</v>
      </c>
      <c r="H9" s="569">
        <v>110</v>
      </c>
      <c r="I9" s="569">
        <v>103.4</v>
      </c>
      <c r="J9" s="29" t="s">
        <v>232</v>
      </c>
    </row>
    <row r="10" spans="2:10" ht="12.75">
      <c r="B10" s="45" t="s">
        <v>167</v>
      </c>
      <c r="C10" s="619">
        <v>100</v>
      </c>
      <c r="D10" s="619">
        <v>172.7</v>
      </c>
      <c r="E10" s="619">
        <v>135.8</v>
      </c>
      <c r="F10" s="619">
        <v>132.3</v>
      </c>
      <c r="G10" s="619">
        <v>116.7</v>
      </c>
      <c r="H10" s="619">
        <v>110</v>
      </c>
      <c r="I10" s="619">
        <v>103.4</v>
      </c>
      <c r="J10" s="29" t="s">
        <v>232</v>
      </c>
    </row>
    <row r="11" spans="2:10" ht="12.75">
      <c r="B11" s="46" t="s">
        <v>259</v>
      </c>
      <c r="C11" s="578">
        <v>304.4</v>
      </c>
      <c r="D11" s="577">
        <v>190.3</v>
      </c>
      <c r="E11" s="579">
        <v>152.9</v>
      </c>
      <c r="F11" s="577">
        <v>135.6</v>
      </c>
      <c r="G11" s="579">
        <v>112.2</v>
      </c>
      <c r="H11" s="577">
        <v>113</v>
      </c>
      <c r="I11" s="580">
        <v>114.1</v>
      </c>
      <c r="J11" s="29" t="s">
        <v>300</v>
      </c>
    </row>
    <row r="12" spans="2:10" ht="12.75">
      <c r="B12" s="2" t="s">
        <v>9</v>
      </c>
      <c r="C12" s="569">
        <v>100</v>
      </c>
      <c r="D12" s="569">
        <v>172.74673276250564</v>
      </c>
      <c r="E12" s="569">
        <v>141.47916259049111</v>
      </c>
      <c r="F12" s="569">
        <v>133.96487346148527</v>
      </c>
      <c r="G12" s="569">
        <v>113.74350504112041</v>
      </c>
      <c r="H12" s="569">
        <v>100.89728686587804</v>
      </c>
      <c r="I12" s="569">
        <v>89.36746987951807</v>
      </c>
      <c r="J12" s="29" t="s">
        <v>247</v>
      </c>
    </row>
    <row r="13" spans="2:10" ht="12.75">
      <c r="B13" s="3" t="s">
        <v>67</v>
      </c>
      <c r="C13" s="669">
        <f>1+C61</f>
        <v>1.591</v>
      </c>
      <c r="D13" s="569">
        <f aca="true" t="shared" si="0" ref="D13:I13">1+D61</f>
        <v>1.458</v>
      </c>
      <c r="E13" s="569">
        <f t="shared" si="0"/>
        <v>1.457</v>
      </c>
      <c r="F13" s="569">
        <f t="shared" si="0"/>
        <v>1.345</v>
      </c>
      <c r="G13" s="569">
        <f t="shared" si="0"/>
        <v>1.225</v>
      </c>
      <c r="H13" s="569">
        <f t="shared" si="0"/>
        <v>1.153</v>
      </c>
      <c r="I13" s="569">
        <f t="shared" si="0"/>
        <v>1.119</v>
      </c>
      <c r="J13" s="29" t="s">
        <v>136</v>
      </c>
    </row>
    <row r="14" spans="2:10" ht="12.75">
      <c r="B14" s="3" t="s">
        <v>7</v>
      </c>
      <c r="C14" s="569">
        <v>100</v>
      </c>
      <c r="D14" s="569">
        <v>172.7</v>
      </c>
      <c r="E14" s="569">
        <v>135.8</v>
      </c>
      <c r="F14" s="569">
        <v>132.3</v>
      </c>
      <c r="G14" s="569">
        <v>116.7</v>
      </c>
      <c r="H14" s="569">
        <v>110</v>
      </c>
      <c r="I14" s="569">
        <v>103.4</v>
      </c>
      <c r="J14" s="29" t="s">
        <v>248</v>
      </c>
    </row>
    <row r="15" spans="2:10" ht="12.75">
      <c r="B15" s="3" t="s">
        <v>68</v>
      </c>
      <c r="C15" s="569">
        <v>168.4</v>
      </c>
      <c r="D15" s="569">
        <v>162.1</v>
      </c>
      <c r="E15" s="569">
        <v>142.1</v>
      </c>
      <c r="F15" s="569">
        <v>142.7</v>
      </c>
      <c r="G15" s="569">
        <v>119.9</v>
      </c>
      <c r="H15" s="569">
        <v>117.8</v>
      </c>
      <c r="I15" s="569">
        <v>115.5</v>
      </c>
      <c r="J15" s="29" t="s">
        <v>249</v>
      </c>
    </row>
    <row r="16" spans="2:10" ht="12.75">
      <c r="B16" s="3" t="s">
        <v>80</v>
      </c>
      <c r="C16" s="569">
        <v>207.22623679822127</v>
      </c>
      <c r="D16" s="569">
        <v>186.6684549356223</v>
      </c>
      <c r="E16" s="569">
        <v>136.9880729989941</v>
      </c>
      <c r="F16" s="569">
        <v>125.9</v>
      </c>
      <c r="G16" s="569">
        <v>122.39872915011914</v>
      </c>
      <c r="H16" s="569">
        <v>115.18494484101234</v>
      </c>
      <c r="I16" s="569">
        <v>109.01</v>
      </c>
      <c r="J16" s="29" t="s">
        <v>250</v>
      </c>
    </row>
    <row r="17" spans="2:10" ht="12.75">
      <c r="B17" s="3" t="s">
        <v>69</v>
      </c>
      <c r="C17" s="577">
        <v>135.79716373012462</v>
      </c>
      <c r="D17" s="577">
        <v>140.41139240506328</v>
      </c>
      <c r="E17" s="577">
        <v>151.9945909398242</v>
      </c>
      <c r="F17" s="577">
        <v>139.3</v>
      </c>
      <c r="G17" s="577">
        <v>120.6748025843503</v>
      </c>
      <c r="H17" s="577">
        <v>120.70196311719215</v>
      </c>
      <c r="I17" s="569">
        <v>118.58</v>
      </c>
      <c r="J17" s="29" t="s">
        <v>246</v>
      </c>
    </row>
    <row r="18" spans="2:10" ht="12.75">
      <c r="B18" s="3" t="s">
        <v>70</v>
      </c>
      <c r="C18" s="569">
        <v>100</v>
      </c>
      <c r="D18" s="569">
        <v>172.7</v>
      </c>
      <c r="E18" s="569">
        <v>135.8</v>
      </c>
      <c r="F18" s="569">
        <v>132.3</v>
      </c>
      <c r="G18" s="569">
        <v>116.7</v>
      </c>
      <c r="H18" s="569">
        <v>110</v>
      </c>
      <c r="I18" s="569">
        <v>103.4</v>
      </c>
      <c r="J18" s="29" t="s">
        <v>248</v>
      </c>
    </row>
    <row r="19" spans="2:10" ht="12.75">
      <c r="B19" s="3" t="s">
        <v>71</v>
      </c>
      <c r="C19" s="569">
        <v>159.1</v>
      </c>
      <c r="D19" s="569">
        <v>145.8</v>
      </c>
      <c r="E19" s="569">
        <v>145.7</v>
      </c>
      <c r="F19" s="569">
        <v>134.5</v>
      </c>
      <c r="G19" s="569">
        <v>122.5</v>
      </c>
      <c r="H19" s="569">
        <v>115.3</v>
      </c>
      <c r="I19" s="569">
        <v>111.9</v>
      </c>
      <c r="J19" s="29" t="s">
        <v>136</v>
      </c>
    </row>
    <row r="20" spans="2:10" ht="12.75">
      <c r="B20" s="3" t="s">
        <v>72</v>
      </c>
      <c r="C20" s="569">
        <v>131.86259060825716</v>
      </c>
      <c r="D20" s="569">
        <v>143.35564053537283</v>
      </c>
      <c r="E20" s="569">
        <v>143.76458819606538</v>
      </c>
      <c r="F20" s="569">
        <v>141.6</v>
      </c>
      <c r="G20" s="569">
        <v>146.75141242937855</v>
      </c>
      <c r="H20" s="569">
        <v>116.60250240615977</v>
      </c>
      <c r="I20" s="569">
        <v>121.09</v>
      </c>
      <c r="J20" s="29" t="s">
        <v>251</v>
      </c>
    </row>
    <row r="21" spans="2:10" ht="12.75">
      <c r="B21" s="3" t="s">
        <v>73</v>
      </c>
      <c r="C21" s="569">
        <v>159.1</v>
      </c>
      <c r="D21" s="569">
        <v>145.8</v>
      </c>
      <c r="E21" s="569">
        <v>145.7</v>
      </c>
      <c r="F21" s="569">
        <v>134.5</v>
      </c>
      <c r="G21" s="569">
        <v>122.5</v>
      </c>
      <c r="H21" s="569">
        <v>115.3</v>
      </c>
      <c r="I21" s="569">
        <v>111.9</v>
      </c>
      <c r="J21" s="29" t="s">
        <v>136</v>
      </c>
    </row>
    <row r="22" spans="2:10" ht="12.75">
      <c r="B22" s="3" t="s">
        <v>74</v>
      </c>
      <c r="C22" s="569">
        <v>135.79716373012462</v>
      </c>
      <c r="D22" s="569">
        <v>140.41139240506328</v>
      </c>
      <c r="E22" s="569">
        <v>151.9945909398242</v>
      </c>
      <c r="F22" s="569">
        <v>139.3</v>
      </c>
      <c r="G22" s="569">
        <v>120.6748025843503</v>
      </c>
      <c r="H22" s="569">
        <v>120.70196311719215</v>
      </c>
      <c r="I22" s="569">
        <v>118.58</v>
      </c>
      <c r="J22" s="29" t="s">
        <v>246</v>
      </c>
    </row>
    <row r="23" spans="2:10" ht="12.75">
      <c r="B23" s="3" t="s">
        <v>262</v>
      </c>
      <c r="C23" s="569">
        <v>159.1</v>
      </c>
      <c r="D23" s="569">
        <v>145.8</v>
      </c>
      <c r="E23" s="569">
        <v>145.7</v>
      </c>
      <c r="F23" s="569">
        <v>134.5</v>
      </c>
      <c r="G23" s="569">
        <v>122.5</v>
      </c>
      <c r="H23" s="569">
        <v>115.3</v>
      </c>
      <c r="I23" s="569">
        <v>111.9</v>
      </c>
      <c r="J23" s="29" t="s">
        <v>136</v>
      </c>
    </row>
    <row r="24" spans="2:10" ht="12.75">
      <c r="B24" s="3" t="s">
        <v>76</v>
      </c>
      <c r="C24" s="569">
        <v>153.3</v>
      </c>
      <c r="D24" s="569">
        <v>3000.3</v>
      </c>
      <c r="E24" s="569">
        <v>158.4</v>
      </c>
      <c r="F24" s="569">
        <v>113.1</v>
      </c>
      <c r="G24" s="569">
        <v>124.1</v>
      </c>
      <c r="H24" s="569">
        <v>115.5</v>
      </c>
      <c r="I24" s="569">
        <v>115.9</v>
      </c>
      <c r="J24" s="29" t="s">
        <v>252</v>
      </c>
    </row>
    <row r="25" spans="2:10" ht="12.75">
      <c r="B25" s="3" t="s">
        <v>77</v>
      </c>
      <c r="C25" s="569">
        <v>159.1</v>
      </c>
      <c r="D25" s="569">
        <v>145.8</v>
      </c>
      <c r="E25" s="569">
        <v>145.7</v>
      </c>
      <c r="F25" s="569">
        <v>134.5</v>
      </c>
      <c r="G25" s="569">
        <v>122.5</v>
      </c>
      <c r="H25" s="569">
        <v>115.3</v>
      </c>
      <c r="I25" s="569">
        <v>111.9</v>
      </c>
      <c r="J25" s="29" t="s">
        <v>136</v>
      </c>
    </row>
    <row r="26" spans="2:10" ht="12.75">
      <c r="B26" s="3" t="s">
        <v>78</v>
      </c>
      <c r="C26" s="577">
        <v>135.79716373012462</v>
      </c>
      <c r="D26" s="577">
        <v>140.41139240506328</v>
      </c>
      <c r="E26" s="577">
        <v>151.9945909398242</v>
      </c>
      <c r="F26" s="577">
        <v>139.3</v>
      </c>
      <c r="G26" s="577">
        <v>120.6748025843503</v>
      </c>
      <c r="H26" s="577">
        <v>120.70196311719215</v>
      </c>
      <c r="I26" s="569">
        <v>118.58</v>
      </c>
      <c r="J26" s="29" t="s">
        <v>246</v>
      </c>
    </row>
    <row r="27" spans="2:10" ht="12.75">
      <c r="B27" s="47" t="s">
        <v>59</v>
      </c>
      <c r="C27" s="620">
        <v>135.79716373012462</v>
      </c>
      <c r="D27" s="620">
        <v>140.41139240506328</v>
      </c>
      <c r="E27" s="620">
        <v>151.9945909398242</v>
      </c>
      <c r="F27" s="620">
        <v>139.3</v>
      </c>
      <c r="G27" s="620">
        <v>120.6748025843503</v>
      </c>
      <c r="H27" s="620">
        <v>120.70196311719215</v>
      </c>
      <c r="I27" s="570">
        <v>118.58</v>
      </c>
      <c r="J27" s="238" t="s">
        <v>246</v>
      </c>
    </row>
    <row r="28" spans="2:10" ht="12.75">
      <c r="B28" s="48"/>
      <c r="C28" s="49"/>
      <c r="D28" s="49"/>
      <c r="E28" s="49"/>
      <c r="F28" s="49"/>
      <c r="G28" s="49"/>
      <c r="H28" s="49"/>
      <c r="I28" s="50"/>
      <c r="J28" s="6"/>
    </row>
    <row r="29" spans="2:10" ht="12.75">
      <c r="B29" s="204" t="s">
        <v>255</v>
      </c>
      <c r="C29" s="6"/>
      <c r="D29" s="6"/>
      <c r="E29" s="6"/>
      <c r="F29" s="6"/>
      <c r="G29" s="6"/>
      <c r="H29" s="6"/>
      <c r="I29" s="51"/>
      <c r="J29" s="6"/>
    </row>
    <row r="30" spans="2:10" ht="12.75">
      <c r="B30" s="52" t="s">
        <v>160</v>
      </c>
      <c r="C30" s="551">
        <f>C4/C4</f>
        <v>1</v>
      </c>
      <c r="D30" s="621">
        <f aca="true" t="shared" si="1" ref="D30:I34">C30*D4/100</f>
        <v>1.3748174116272276</v>
      </c>
      <c r="E30" s="621">
        <f t="shared" si="1"/>
        <v>2.0555068653228163</v>
      </c>
      <c r="F30" s="621">
        <f t="shared" si="1"/>
        <v>2.961985392930178</v>
      </c>
      <c r="G30" s="621">
        <f t="shared" si="1"/>
        <v>3.6197475898334797</v>
      </c>
      <c r="H30" s="621">
        <f t="shared" si="1"/>
        <v>4.53239263803681</v>
      </c>
      <c r="I30" s="621">
        <f t="shared" si="1"/>
        <v>5.455187779141104</v>
      </c>
      <c r="J30" s="6"/>
    </row>
    <row r="31" spans="2:10" ht="12.75">
      <c r="B31" s="3" t="s">
        <v>161</v>
      </c>
      <c r="C31" s="554">
        <f>C5/C5</f>
        <v>1</v>
      </c>
      <c r="D31" s="566">
        <f t="shared" si="1"/>
        <v>1.4498644986449865</v>
      </c>
      <c r="E31" s="566">
        <f t="shared" si="1"/>
        <v>2.3130081300813004</v>
      </c>
      <c r="F31" s="566">
        <f t="shared" si="1"/>
        <v>3.1988902439024387</v>
      </c>
      <c r="G31" s="566">
        <f t="shared" si="1"/>
        <v>3.6938739837398367</v>
      </c>
      <c r="H31" s="566">
        <f t="shared" si="1"/>
        <v>4.521930894308943</v>
      </c>
      <c r="I31" s="566">
        <f t="shared" si="1"/>
        <v>5.761844345528455</v>
      </c>
      <c r="J31" s="6"/>
    </row>
    <row r="32" spans="2:10" ht="12.75">
      <c r="B32" s="3" t="s">
        <v>162</v>
      </c>
      <c r="C32" s="554">
        <f>C6/C6</f>
        <v>1</v>
      </c>
      <c r="D32" s="566">
        <f t="shared" si="1"/>
        <v>1.452876984126984</v>
      </c>
      <c r="E32" s="566">
        <f t="shared" si="1"/>
        <v>1.8169642857142858</v>
      </c>
      <c r="F32" s="566">
        <f t="shared" si="1"/>
        <v>2.3820401785714287</v>
      </c>
      <c r="G32" s="566">
        <f t="shared" si="1"/>
        <v>2.8417321428571434</v>
      </c>
      <c r="H32" s="566">
        <f t="shared" si="1"/>
        <v>3.1433482142857145</v>
      </c>
      <c r="I32" s="566">
        <f t="shared" si="1"/>
        <v>4.2554648125</v>
      </c>
      <c r="J32" s="6"/>
    </row>
    <row r="33" spans="2:10" ht="12.75">
      <c r="B33" s="3" t="s">
        <v>163</v>
      </c>
      <c r="C33" s="554">
        <f>C7/C7</f>
        <v>1</v>
      </c>
      <c r="D33" s="566">
        <f t="shared" si="1"/>
        <v>1.4041139240506328</v>
      </c>
      <c r="E33" s="566">
        <f t="shared" si="1"/>
        <v>2.1341772151898732</v>
      </c>
      <c r="F33" s="566">
        <f t="shared" si="1"/>
        <v>2.9729088607594933</v>
      </c>
      <c r="G33" s="566">
        <f t="shared" si="1"/>
        <v>3.5875518987341763</v>
      </c>
      <c r="H33" s="566">
        <f t="shared" si="1"/>
        <v>4.330245569620252</v>
      </c>
      <c r="I33" s="566">
        <f t="shared" si="1"/>
        <v>5.134805196455694</v>
      </c>
      <c r="J33" s="6"/>
    </row>
    <row r="34" spans="2:10" ht="12.75">
      <c r="B34" s="3" t="s">
        <v>164</v>
      </c>
      <c r="C34" s="565">
        <f>C8/C8</f>
        <v>1</v>
      </c>
      <c r="D34" s="566">
        <f t="shared" si="1"/>
        <v>1.4041139240506328</v>
      </c>
      <c r="E34" s="566">
        <f t="shared" si="1"/>
        <v>2.1341772151898732</v>
      </c>
      <c r="F34" s="566">
        <f t="shared" si="1"/>
        <v>2.9729088607594933</v>
      </c>
      <c r="G34" s="566">
        <f t="shared" si="1"/>
        <v>3.5875518987341763</v>
      </c>
      <c r="H34" s="566">
        <f t="shared" si="1"/>
        <v>4.330245569620252</v>
      </c>
      <c r="I34" s="566">
        <f t="shared" si="1"/>
        <v>5.134805196455694</v>
      </c>
      <c r="J34" s="6"/>
    </row>
    <row r="35" spans="2:10" ht="12.75">
      <c r="B35" s="149" t="s">
        <v>165</v>
      </c>
      <c r="C35" s="566">
        <v>1</v>
      </c>
      <c r="D35" s="566">
        <f aca="true" t="shared" si="2" ref="D35:I35">C35*(1+D63)</f>
        <v>1.4216939078751856</v>
      </c>
      <c r="E35" s="566">
        <f t="shared" si="2"/>
        <v>2.1551263001485883</v>
      </c>
      <c r="F35" s="566">
        <f t="shared" si="2"/>
        <v>3.0236421991084694</v>
      </c>
      <c r="G35" s="566">
        <f t="shared" si="2"/>
        <v>3.7628505200594344</v>
      </c>
      <c r="H35" s="566">
        <f t="shared" si="2"/>
        <v>4.5020588410104</v>
      </c>
      <c r="I35" s="566">
        <f t="shared" si="2"/>
        <v>5.471865676077265</v>
      </c>
      <c r="J35" s="6"/>
    </row>
    <row r="36" spans="2:10" ht="12.75">
      <c r="B36" s="3" t="s">
        <v>166</v>
      </c>
      <c r="C36" s="554">
        <f>C9/C9</f>
        <v>1</v>
      </c>
      <c r="D36" s="566">
        <f aca="true" t="shared" si="3" ref="D36:I38">C36*D9/100</f>
        <v>1.7269999999999999</v>
      </c>
      <c r="E36" s="566">
        <f t="shared" si="3"/>
        <v>2.345266</v>
      </c>
      <c r="F36" s="566">
        <f t="shared" si="3"/>
        <v>3.1027869180000005</v>
      </c>
      <c r="G36" s="566">
        <f t="shared" si="3"/>
        <v>3.620952333306001</v>
      </c>
      <c r="H36" s="566">
        <f t="shared" si="3"/>
        <v>3.983047566636601</v>
      </c>
      <c r="I36" s="566">
        <f t="shared" si="3"/>
        <v>4.118471183902246</v>
      </c>
      <c r="J36" s="6"/>
    </row>
    <row r="37" spans="2:10" ht="12.75">
      <c r="B37" s="54" t="s">
        <v>167</v>
      </c>
      <c r="C37" s="567">
        <f>C10/C10</f>
        <v>1</v>
      </c>
      <c r="D37" s="622">
        <f t="shared" si="3"/>
        <v>1.7269999999999999</v>
      </c>
      <c r="E37" s="622">
        <f t="shared" si="3"/>
        <v>2.345266</v>
      </c>
      <c r="F37" s="622">
        <f t="shared" si="3"/>
        <v>3.1027869180000005</v>
      </c>
      <c r="G37" s="622">
        <f t="shared" si="3"/>
        <v>3.620952333306001</v>
      </c>
      <c r="H37" s="622">
        <f t="shared" si="3"/>
        <v>3.983047566636601</v>
      </c>
      <c r="I37" s="622">
        <f t="shared" si="3"/>
        <v>4.118471183902246</v>
      </c>
      <c r="J37" s="6"/>
    </row>
    <row r="38" spans="2:10" ht="12.75">
      <c r="B38" s="47" t="s">
        <v>200</v>
      </c>
      <c r="C38" s="568">
        <f>C11/C11</f>
        <v>1</v>
      </c>
      <c r="D38" s="623">
        <f t="shared" si="3"/>
        <v>1.903</v>
      </c>
      <c r="E38" s="623">
        <f t="shared" si="3"/>
        <v>2.909687</v>
      </c>
      <c r="F38" s="623">
        <f t="shared" si="3"/>
        <v>3.9455355719999994</v>
      </c>
      <c r="G38" s="623">
        <f t="shared" si="3"/>
        <v>4.426890911784</v>
      </c>
      <c r="H38" s="623">
        <f t="shared" si="3"/>
        <v>5.002386730315919</v>
      </c>
      <c r="I38" s="623">
        <f t="shared" si="3"/>
        <v>5.707723259290463</v>
      </c>
      <c r="J38" s="6"/>
    </row>
    <row r="39" spans="2:10" ht="12.75">
      <c r="B39" s="3" t="s">
        <v>283</v>
      </c>
      <c r="C39" s="56">
        <v>0.569</v>
      </c>
      <c r="D39" s="56">
        <v>0.659</v>
      </c>
      <c r="E39" s="57">
        <v>0.5321</v>
      </c>
      <c r="F39" s="57">
        <v>0.4574</v>
      </c>
      <c r="G39" s="57">
        <v>0.3665</v>
      </c>
      <c r="H39" s="57">
        <v>0.2619</v>
      </c>
      <c r="I39" s="57">
        <v>0.2581</v>
      </c>
      <c r="J39" s="58">
        <v>0.1919</v>
      </c>
    </row>
    <row r="40" spans="2:10" ht="12.75">
      <c r="B40" s="228" t="s">
        <v>253</v>
      </c>
      <c r="C40" s="229">
        <v>1998</v>
      </c>
      <c r="D40" s="229">
        <v>1999</v>
      </c>
      <c r="E40" s="229">
        <v>2000</v>
      </c>
      <c r="F40" s="229">
        <v>2001</v>
      </c>
      <c r="G40" s="229">
        <v>2002</v>
      </c>
      <c r="H40" s="229">
        <v>2003</v>
      </c>
      <c r="I40" s="229">
        <v>2004</v>
      </c>
      <c r="J40" s="6"/>
    </row>
    <row r="41" spans="2:10" ht="12.75">
      <c r="B41" s="260" t="s">
        <v>233</v>
      </c>
      <c r="C41" s="541">
        <v>9989</v>
      </c>
      <c r="D41" s="541">
        <v>16296</v>
      </c>
      <c r="E41" s="541">
        <v>19956</v>
      </c>
      <c r="F41" s="541">
        <v>26027</v>
      </c>
      <c r="G41" s="541">
        <v>31255</v>
      </c>
      <c r="H41" s="541">
        <v>37556</v>
      </c>
      <c r="I41" s="541">
        <v>40532</v>
      </c>
      <c r="J41" s="6"/>
    </row>
    <row r="42" spans="2:10" ht="12.75">
      <c r="B42" s="149" t="s">
        <v>234</v>
      </c>
      <c r="C42" s="462">
        <v>8876</v>
      </c>
      <c r="D42" s="462">
        <v>15333</v>
      </c>
      <c r="E42" s="462">
        <v>21693</v>
      </c>
      <c r="F42" s="462">
        <v>29061</v>
      </c>
      <c r="G42" s="462">
        <v>33055</v>
      </c>
      <c r="H42" s="462">
        <v>33200</v>
      </c>
      <c r="I42" s="462">
        <v>32637</v>
      </c>
      <c r="J42" s="6"/>
    </row>
    <row r="43" spans="2:10" ht="12.75">
      <c r="B43" s="149" t="s">
        <v>233</v>
      </c>
      <c r="C43" s="566">
        <v>1</v>
      </c>
      <c r="D43" s="566">
        <f aca="true" t="shared" si="4" ref="D43:I43">D41/$C41</f>
        <v>1.631394533987386</v>
      </c>
      <c r="E43" s="566">
        <f t="shared" si="4"/>
        <v>1.9977975773350687</v>
      </c>
      <c r="F43" s="566">
        <f t="shared" si="4"/>
        <v>2.6055661227350084</v>
      </c>
      <c r="G43" s="566">
        <f t="shared" si="4"/>
        <v>3.1289418360196217</v>
      </c>
      <c r="H43" s="566">
        <f t="shared" si="4"/>
        <v>3.7597357092802084</v>
      </c>
      <c r="I43" s="566">
        <f t="shared" si="4"/>
        <v>4.05766342977275</v>
      </c>
      <c r="J43" s="6"/>
    </row>
    <row r="44" spans="2:10" ht="12.75">
      <c r="B44" s="261" t="s">
        <v>234</v>
      </c>
      <c r="C44" s="571">
        <v>1</v>
      </c>
      <c r="D44" s="571">
        <f aca="true" t="shared" si="5" ref="D44:I44">D42/$C$42</f>
        <v>1.7274673276250563</v>
      </c>
      <c r="E44" s="571">
        <f t="shared" si="5"/>
        <v>2.444006309148265</v>
      </c>
      <c r="F44" s="571">
        <f t="shared" si="5"/>
        <v>3.2741099594411898</v>
      </c>
      <c r="G44" s="571">
        <f t="shared" si="5"/>
        <v>3.724087426768815</v>
      </c>
      <c r="H44" s="571">
        <f t="shared" si="5"/>
        <v>3.740423614240649</v>
      </c>
      <c r="I44" s="571">
        <f t="shared" si="5"/>
        <v>3.6769941415051823</v>
      </c>
      <c r="J44" s="6"/>
    </row>
    <row r="45" spans="2:10" ht="12.75">
      <c r="B45" s="55" t="s">
        <v>9</v>
      </c>
      <c r="C45" s="572">
        <f aca="true" t="shared" si="6" ref="C45:C60">$C12/C12</f>
        <v>1</v>
      </c>
      <c r="D45" s="572">
        <f aca="true" t="shared" si="7" ref="D45:I45">C45*D12/100</f>
        <v>1.7274673276250565</v>
      </c>
      <c r="E45" s="572">
        <f t="shared" si="7"/>
        <v>2.4440063091482656</v>
      </c>
      <c r="F45" s="572">
        <f t="shared" si="7"/>
        <v>3.2741099594411907</v>
      </c>
      <c r="G45" s="572">
        <f t="shared" si="7"/>
        <v>3.724087426768816</v>
      </c>
      <c r="H45" s="572">
        <f t="shared" si="7"/>
        <v>3.7575031741230283</v>
      </c>
      <c r="I45" s="572">
        <f t="shared" si="7"/>
        <v>3.3579855173563327</v>
      </c>
      <c r="J45" s="6"/>
    </row>
    <row r="46" spans="2:10" ht="12.75">
      <c r="B46" s="30" t="s">
        <v>67</v>
      </c>
      <c r="C46" s="573">
        <f t="shared" si="6"/>
        <v>1</v>
      </c>
      <c r="D46" s="573">
        <f aca="true" t="shared" si="8" ref="D46:I46">C46*D13</f>
        <v>1.458</v>
      </c>
      <c r="E46" s="573">
        <f t="shared" si="8"/>
        <v>2.1243060000000002</v>
      </c>
      <c r="F46" s="573">
        <f t="shared" si="8"/>
        <v>2.8571915700000003</v>
      </c>
      <c r="G46" s="573">
        <f t="shared" si="8"/>
        <v>3.500059673250001</v>
      </c>
      <c r="H46" s="573">
        <f t="shared" si="8"/>
        <v>4.035568803257251</v>
      </c>
      <c r="I46" s="573">
        <f t="shared" si="8"/>
        <v>4.515801490844864</v>
      </c>
      <c r="J46" s="6"/>
    </row>
    <row r="47" spans="2:10" ht="12.75">
      <c r="B47" s="30" t="s">
        <v>7</v>
      </c>
      <c r="C47" s="573">
        <f t="shared" si="6"/>
        <v>1</v>
      </c>
      <c r="D47" s="573">
        <f aca="true" t="shared" si="9" ref="D47:I60">C47*D14/100</f>
        <v>1.7269999999999999</v>
      </c>
      <c r="E47" s="573">
        <f t="shared" si="9"/>
        <v>2.345266</v>
      </c>
      <c r="F47" s="573">
        <f t="shared" si="9"/>
        <v>3.1027869180000005</v>
      </c>
      <c r="G47" s="573">
        <f t="shared" si="9"/>
        <v>3.620952333306001</v>
      </c>
      <c r="H47" s="573">
        <f t="shared" si="9"/>
        <v>3.983047566636601</v>
      </c>
      <c r="I47" s="573">
        <f t="shared" si="9"/>
        <v>4.118471183902246</v>
      </c>
      <c r="J47" s="51"/>
    </row>
    <row r="48" spans="2:10" ht="12.75">
      <c r="B48" s="30" t="s">
        <v>68</v>
      </c>
      <c r="C48" s="573">
        <f t="shared" si="6"/>
        <v>1</v>
      </c>
      <c r="D48" s="573">
        <f t="shared" si="9"/>
        <v>1.621</v>
      </c>
      <c r="E48" s="573">
        <f t="shared" si="9"/>
        <v>2.303441</v>
      </c>
      <c r="F48" s="573">
        <f t="shared" si="9"/>
        <v>3.287010306999999</v>
      </c>
      <c r="G48" s="573">
        <f t="shared" si="9"/>
        <v>3.9411253580929992</v>
      </c>
      <c r="H48" s="573">
        <f t="shared" si="9"/>
        <v>4.642645671833553</v>
      </c>
      <c r="I48" s="637">
        <f t="shared" si="9"/>
        <v>5.362255750967754</v>
      </c>
      <c r="J48" s="6"/>
    </row>
    <row r="49" spans="2:10" ht="12.75">
      <c r="B49" s="30" t="s">
        <v>80</v>
      </c>
      <c r="C49" s="573">
        <f t="shared" si="6"/>
        <v>1</v>
      </c>
      <c r="D49" s="573">
        <f t="shared" si="9"/>
        <v>1.866684549356223</v>
      </c>
      <c r="E49" s="573">
        <f t="shared" si="9"/>
        <v>2.557135193133047</v>
      </c>
      <c r="F49" s="573">
        <f t="shared" si="9"/>
        <v>3.2194332081545065</v>
      </c>
      <c r="G49" s="573">
        <f t="shared" si="9"/>
        <v>3.9405453326180258</v>
      </c>
      <c r="H49" s="573">
        <f t="shared" si="9"/>
        <v>4.538914967811159</v>
      </c>
      <c r="I49" s="637">
        <f t="shared" si="9"/>
        <v>4.9478712064109445</v>
      </c>
      <c r="J49" s="6"/>
    </row>
    <row r="50" spans="2:10" ht="12.75">
      <c r="B50" s="30" t="s">
        <v>69</v>
      </c>
      <c r="C50" s="573">
        <f t="shared" si="6"/>
        <v>1</v>
      </c>
      <c r="D50" s="573">
        <f t="shared" si="9"/>
        <v>1.4041139240506328</v>
      </c>
      <c r="E50" s="573">
        <f t="shared" si="9"/>
        <v>2.1341772151898732</v>
      </c>
      <c r="F50" s="573">
        <f t="shared" si="9"/>
        <v>2.9729088607594933</v>
      </c>
      <c r="G50" s="573">
        <f t="shared" si="9"/>
        <v>3.5875518987341763</v>
      </c>
      <c r="H50" s="573">
        <f t="shared" si="9"/>
        <v>4.330245569620252</v>
      </c>
      <c r="I50" s="637">
        <f t="shared" si="9"/>
        <v>5.134805196455694</v>
      </c>
      <c r="J50" s="6"/>
    </row>
    <row r="51" spans="2:10" ht="12.75">
      <c r="B51" s="30" t="s">
        <v>70</v>
      </c>
      <c r="C51" s="573">
        <f t="shared" si="6"/>
        <v>1</v>
      </c>
      <c r="D51" s="573">
        <f t="shared" si="9"/>
        <v>1.7269999999999999</v>
      </c>
      <c r="E51" s="573">
        <f t="shared" si="9"/>
        <v>2.345266</v>
      </c>
      <c r="F51" s="573">
        <f t="shared" si="9"/>
        <v>3.1027869180000005</v>
      </c>
      <c r="G51" s="573">
        <f t="shared" si="9"/>
        <v>3.620952333306001</v>
      </c>
      <c r="H51" s="573">
        <f t="shared" si="9"/>
        <v>3.983047566636601</v>
      </c>
      <c r="I51" s="637">
        <f t="shared" si="9"/>
        <v>4.118471183902246</v>
      </c>
      <c r="J51" s="6"/>
    </row>
    <row r="52" spans="2:10" ht="12.75">
      <c r="B52" s="30" t="s">
        <v>71</v>
      </c>
      <c r="C52" s="573">
        <f t="shared" si="6"/>
        <v>1</v>
      </c>
      <c r="D52" s="573">
        <f t="shared" si="9"/>
        <v>1.4580000000000002</v>
      </c>
      <c r="E52" s="573">
        <f t="shared" si="9"/>
        <v>2.124306</v>
      </c>
      <c r="F52" s="573">
        <f t="shared" si="9"/>
        <v>2.85719157</v>
      </c>
      <c r="G52" s="573">
        <f t="shared" si="9"/>
        <v>3.5000596732499996</v>
      </c>
      <c r="H52" s="573">
        <f t="shared" si="9"/>
        <v>4.03556880325725</v>
      </c>
      <c r="I52" s="637">
        <f t="shared" si="9"/>
        <v>4.515801490844862</v>
      </c>
      <c r="J52" s="6"/>
    </row>
    <row r="53" spans="2:10" ht="12.75">
      <c r="B53" s="30" t="s">
        <v>72</v>
      </c>
      <c r="C53" s="573">
        <f t="shared" si="6"/>
        <v>1</v>
      </c>
      <c r="D53" s="573">
        <f t="shared" si="9"/>
        <v>1.4335564053537282</v>
      </c>
      <c r="E53" s="573">
        <f t="shared" si="9"/>
        <v>2.060946462715105</v>
      </c>
      <c r="F53" s="573">
        <f t="shared" si="9"/>
        <v>2.918300191204588</v>
      </c>
      <c r="G53" s="573">
        <f t="shared" si="9"/>
        <v>4.282646749521988</v>
      </c>
      <c r="H53" s="573">
        <f t="shared" si="9"/>
        <v>4.9936732791587</v>
      </c>
      <c r="I53" s="637">
        <f t="shared" si="9"/>
        <v>6.04683897373327</v>
      </c>
      <c r="J53" s="6"/>
    </row>
    <row r="54" spans="2:10" ht="12.75">
      <c r="B54" s="30" t="s">
        <v>73</v>
      </c>
      <c r="C54" s="573">
        <f t="shared" si="6"/>
        <v>1</v>
      </c>
      <c r="D54" s="573">
        <f t="shared" si="9"/>
        <v>1.4580000000000002</v>
      </c>
      <c r="E54" s="573">
        <f t="shared" si="9"/>
        <v>2.124306</v>
      </c>
      <c r="F54" s="573">
        <f t="shared" si="9"/>
        <v>2.85719157</v>
      </c>
      <c r="G54" s="573">
        <f t="shared" si="9"/>
        <v>3.5000596732499996</v>
      </c>
      <c r="H54" s="573">
        <f t="shared" si="9"/>
        <v>4.03556880325725</v>
      </c>
      <c r="I54" s="637">
        <f t="shared" si="9"/>
        <v>4.515801490844862</v>
      </c>
      <c r="J54" s="6"/>
    </row>
    <row r="55" spans="2:10" ht="12.75">
      <c r="B55" s="30" t="s">
        <v>74</v>
      </c>
      <c r="C55" s="573">
        <f t="shared" si="6"/>
        <v>1</v>
      </c>
      <c r="D55" s="573">
        <f t="shared" si="9"/>
        <v>1.4041139240506328</v>
      </c>
      <c r="E55" s="573">
        <f t="shared" si="9"/>
        <v>2.1341772151898732</v>
      </c>
      <c r="F55" s="573">
        <f t="shared" si="9"/>
        <v>2.9729088607594933</v>
      </c>
      <c r="G55" s="573">
        <f t="shared" si="9"/>
        <v>3.5875518987341763</v>
      </c>
      <c r="H55" s="573">
        <f t="shared" si="9"/>
        <v>4.330245569620252</v>
      </c>
      <c r="I55" s="637">
        <f t="shared" si="9"/>
        <v>5.134805196455694</v>
      </c>
      <c r="J55" s="6"/>
    </row>
    <row r="56" spans="2:10" ht="12.75">
      <c r="B56" s="30" t="s">
        <v>75</v>
      </c>
      <c r="C56" s="573">
        <f t="shared" si="6"/>
        <v>1</v>
      </c>
      <c r="D56" s="573">
        <f t="shared" si="9"/>
        <v>1.4580000000000002</v>
      </c>
      <c r="E56" s="573">
        <f t="shared" si="9"/>
        <v>2.124306</v>
      </c>
      <c r="F56" s="573">
        <f t="shared" si="9"/>
        <v>2.85719157</v>
      </c>
      <c r="G56" s="573">
        <f t="shared" si="9"/>
        <v>3.5000596732499996</v>
      </c>
      <c r="H56" s="573">
        <f t="shared" si="9"/>
        <v>4.03556880325725</v>
      </c>
      <c r="I56" s="637">
        <f t="shared" si="9"/>
        <v>4.515801490844862</v>
      </c>
      <c r="J56" s="6"/>
    </row>
    <row r="57" spans="2:10" ht="12.75">
      <c r="B57" s="30" t="s">
        <v>76</v>
      </c>
      <c r="C57" s="573">
        <f t="shared" si="6"/>
        <v>1</v>
      </c>
      <c r="D57" s="573">
        <f t="shared" si="9"/>
        <v>30.003</v>
      </c>
      <c r="E57" s="573">
        <f t="shared" si="9"/>
        <v>47.524752</v>
      </c>
      <c r="F57" s="573">
        <f t="shared" si="9"/>
        <v>53.750494511999996</v>
      </c>
      <c r="G57" s="573">
        <f t="shared" si="9"/>
        <v>66.704363689392</v>
      </c>
      <c r="H57" s="573">
        <f t="shared" si="9"/>
        <v>77.04354006124775</v>
      </c>
      <c r="I57" s="637">
        <f t="shared" si="9"/>
        <v>89.29346293098615</v>
      </c>
      <c r="J57" s="6"/>
    </row>
    <row r="58" spans="2:10" ht="12.75">
      <c r="B58" s="30" t="s">
        <v>77</v>
      </c>
      <c r="C58" s="573">
        <f t="shared" si="6"/>
        <v>1</v>
      </c>
      <c r="D58" s="573">
        <f t="shared" si="9"/>
        <v>1.4580000000000002</v>
      </c>
      <c r="E58" s="573">
        <f t="shared" si="9"/>
        <v>2.124306</v>
      </c>
      <c r="F58" s="573">
        <f t="shared" si="9"/>
        <v>2.85719157</v>
      </c>
      <c r="G58" s="573">
        <f t="shared" si="9"/>
        <v>3.5000596732499996</v>
      </c>
      <c r="H58" s="573">
        <f t="shared" si="9"/>
        <v>4.03556880325725</v>
      </c>
      <c r="I58" s="637">
        <f t="shared" si="9"/>
        <v>4.515801490844862</v>
      </c>
      <c r="J58" s="6"/>
    </row>
    <row r="59" spans="2:10" ht="12.75">
      <c r="B59" s="30" t="s">
        <v>78</v>
      </c>
      <c r="C59" s="573">
        <f t="shared" si="6"/>
        <v>1</v>
      </c>
      <c r="D59" s="573">
        <f t="shared" si="9"/>
        <v>1.4041139240506328</v>
      </c>
      <c r="E59" s="573">
        <f t="shared" si="9"/>
        <v>2.1341772151898732</v>
      </c>
      <c r="F59" s="573">
        <f t="shared" si="9"/>
        <v>2.9729088607594933</v>
      </c>
      <c r="G59" s="573">
        <f t="shared" si="9"/>
        <v>3.5875518987341763</v>
      </c>
      <c r="H59" s="573">
        <f t="shared" si="9"/>
        <v>4.330245569620252</v>
      </c>
      <c r="I59" s="637">
        <f t="shared" si="9"/>
        <v>5.134805196455694</v>
      </c>
      <c r="J59" s="6"/>
    </row>
    <row r="60" spans="2:10" ht="12.75">
      <c r="B60" s="55" t="s">
        <v>59</v>
      </c>
      <c r="C60" s="574">
        <f t="shared" si="6"/>
        <v>1</v>
      </c>
      <c r="D60" s="574">
        <f t="shared" si="9"/>
        <v>1.4041139240506328</v>
      </c>
      <c r="E60" s="574">
        <f t="shared" si="9"/>
        <v>2.1341772151898732</v>
      </c>
      <c r="F60" s="574">
        <f t="shared" si="9"/>
        <v>2.9729088607594933</v>
      </c>
      <c r="G60" s="574">
        <f t="shared" si="9"/>
        <v>3.5875518987341763</v>
      </c>
      <c r="H60" s="574">
        <f t="shared" si="9"/>
        <v>4.330245569620252</v>
      </c>
      <c r="I60" s="638">
        <f t="shared" si="9"/>
        <v>5.134805196455694</v>
      </c>
      <c r="J60" s="6"/>
    </row>
    <row r="61" spans="2:10" ht="12.75">
      <c r="B61" s="60" t="s">
        <v>136</v>
      </c>
      <c r="C61" s="61">
        <v>0.591</v>
      </c>
      <c r="D61" s="61">
        <v>0.458</v>
      </c>
      <c r="E61" s="61">
        <v>0.457</v>
      </c>
      <c r="F61" s="61">
        <v>0.345</v>
      </c>
      <c r="G61" s="61">
        <v>0.225</v>
      </c>
      <c r="H61" s="61">
        <v>0.153</v>
      </c>
      <c r="I61" s="61">
        <v>0.119</v>
      </c>
      <c r="J61" s="6"/>
    </row>
    <row r="62" spans="2:10" ht="12.75">
      <c r="B62" s="62" t="s">
        <v>256</v>
      </c>
      <c r="C62" s="575">
        <v>1</v>
      </c>
      <c r="D62" s="575">
        <f aca="true" t="shared" si="10" ref="D62:I62">C62*(1+D61)</f>
        <v>1.458</v>
      </c>
      <c r="E62" s="575">
        <f t="shared" si="10"/>
        <v>2.1243060000000002</v>
      </c>
      <c r="F62" s="575">
        <f t="shared" si="10"/>
        <v>2.8571915700000003</v>
      </c>
      <c r="G62" s="575">
        <f t="shared" si="10"/>
        <v>3.500059673250001</v>
      </c>
      <c r="H62" s="575">
        <f t="shared" si="10"/>
        <v>4.035568803257251</v>
      </c>
      <c r="I62" s="575">
        <f t="shared" si="10"/>
        <v>4.515801490844864</v>
      </c>
      <c r="J62" s="51"/>
    </row>
    <row r="63" spans="2:10" ht="12.75">
      <c r="B63" s="63" t="s">
        <v>257</v>
      </c>
      <c r="C63" s="64">
        <v>0.331618519984171</v>
      </c>
      <c r="D63" s="64">
        <v>0.4216939078751855</v>
      </c>
      <c r="E63" s="64">
        <v>0.5158862876254182</v>
      </c>
      <c r="F63" s="64">
        <v>0.40300000000000014</v>
      </c>
      <c r="G63" s="64">
        <v>0.2444761225944403</v>
      </c>
      <c r="H63" s="64">
        <v>0.1964490263459335</v>
      </c>
      <c r="I63" s="64">
        <v>0.21541407371948296</v>
      </c>
      <c r="J63" s="6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5" r:id="rId1"/>
  <rowBreaks count="1" manualBreakCount="1">
    <brk id="28" max="255" man="1"/>
  </rowBreaks>
  <ignoredErrors>
    <ignoredError sqref="D46:I46 D35: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="85" zoomScaleNormal="85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45.7109375" style="1" customWidth="1"/>
    <col min="3" max="6" width="9.8515625" style="1" bestFit="1" customWidth="1"/>
    <col min="7" max="7" width="9.28125" style="1" customWidth="1"/>
    <col min="8" max="8" width="11.28125" style="1" bestFit="1" customWidth="1"/>
    <col min="9" max="15" width="9.28125" style="1" customWidth="1"/>
    <col min="16" max="16384" width="9.140625" style="1" customWidth="1"/>
  </cols>
  <sheetData>
    <row r="1" spans="2:15" ht="27" customHeight="1">
      <c r="B1" s="268" t="s">
        <v>288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2.75">
      <c r="B2" s="204" t="s">
        <v>280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2.75">
      <c r="B3" s="68" t="s">
        <v>20</v>
      </c>
      <c r="C3" s="69">
        <v>1998</v>
      </c>
      <c r="D3" s="69">
        <v>1999</v>
      </c>
      <c r="E3" s="69">
        <v>2000</v>
      </c>
      <c r="F3" s="69">
        <v>2001</v>
      </c>
      <c r="G3" s="69">
        <v>2002</v>
      </c>
      <c r="H3" s="69">
        <v>2003</v>
      </c>
      <c r="I3" s="70">
        <v>2004</v>
      </c>
      <c r="J3" s="71">
        <v>2005</v>
      </c>
      <c r="K3" s="69">
        <v>2006</v>
      </c>
      <c r="L3" s="69">
        <v>2007</v>
      </c>
      <c r="M3" s="69">
        <v>2008</v>
      </c>
      <c r="N3" s="69">
        <v>2009</v>
      </c>
      <c r="O3" s="69">
        <v>2010</v>
      </c>
    </row>
    <row r="4" spans="2:15" ht="12.75">
      <c r="B4" s="72" t="s">
        <v>33</v>
      </c>
      <c r="C4" s="701">
        <v>125</v>
      </c>
      <c r="D4" s="701">
        <v>168</v>
      </c>
      <c r="E4" s="701">
        <v>359</v>
      </c>
      <c r="F4" s="701">
        <v>452</v>
      </c>
      <c r="G4" s="701">
        <v>126</v>
      </c>
      <c r="H4" s="701">
        <v>64</v>
      </c>
      <c r="I4" s="702">
        <v>255</v>
      </c>
      <c r="J4" s="559"/>
      <c r="K4" s="560"/>
      <c r="L4" s="560"/>
      <c r="M4" s="560"/>
      <c r="N4" s="560"/>
      <c r="O4" s="560"/>
    </row>
    <row r="5" spans="2:15" ht="12.75">
      <c r="B5" s="168" t="s">
        <v>21</v>
      </c>
      <c r="C5" s="703">
        <v>19872</v>
      </c>
      <c r="D5" s="703">
        <v>36556</v>
      </c>
      <c r="E5" s="703">
        <v>56444</v>
      </c>
      <c r="F5" s="703">
        <v>55776</v>
      </c>
      <c r="G5" s="703">
        <v>524</v>
      </c>
      <c r="H5" s="703">
        <v>454646</v>
      </c>
      <c r="I5" s="704">
        <v>54</v>
      </c>
      <c r="J5" s="561"/>
      <c r="K5" s="562"/>
      <c r="L5" s="562"/>
      <c r="M5" s="562"/>
      <c r="N5" s="562"/>
      <c r="O5" s="562"/>
    </row>
    <row r="6" spans="2:15" ht="12.75">
      <c r="B6" s="113" t="s">
        <v>22</v>
      </c>
      <c r="C6" s="705">
        <v>0</v>
      </c>
      <c r="D6" s="705">
        <v>0</v>
      </c>
      <c r="E6" s="705"/>
      <c r="F6" s="705">
        <v>0</v>
      </c>
      <c r="G6" s="705">
        <v>88</v>
      </c>
      <c r="H6" s="705">
        <v>57</v>
      </c>
      <c r="I6" s="706">
        <v>33</v>
      </c>
      <c r="J6" s="357"/>
      <c r="K6" s="355"/>
      <c r="L6" s="355"/>
      <c r="M6" s="355"/>
      <c r="N6" s="355"/>
      <c r="O6" s="355"/>
    </row>
    <row r="7" spans="2:15" ht="12.75">
      <c r="B7" s="113" t="s">
        <v>23</v>
      </c>
      <c r="C7" s="705">
        <v>145</v>
      </c>
      <c r="D7" s="705">
        <v>54</v>
      </c>
      <c r="E7" s="705">
        <v>555</v>
      </c>
      <c r="F7" s="705">
        <v>889</v>
      </c>
      <c r="G7" s="705">
        <v>245</v>
      </c>
      <c r="H7" s="705">
        <v>44</v>
      </c>
      <c r="I7" s="706">
        <v>85</v>
      </c>
      <c r="J7" s="357"/>
      <c r="K7" s="355"/>
      <c r="L7" s="355"/>
      <c r="M7" s="355"/>
      <c r="N7" s="355"/>
      <c r="O7" s="355"/>
    </row>
    <row r="8" spans="2:15" ht="12.75">
      <c r="B8" s="113" t="s">
        <v>16</v>
      </c>
      <c r="C8" s="705"/>
      <c r="D8" s="705"/>
      <c r="E8" s="705"/>
      <c r="F8" s="705"/>
      <c r="G8" s="705"/>
      <c r="H8" s="705">
        <v>0</v>
      </c>
      <c r="I8" s="706">
        <v>17</v>
      </c>
      <c r="J8" s="357"/>
      <c r="K8" s="355"/>
      <c r="L8" s="355"/>
      <c r="M8" s="355"/>
      <c r="N8" s="355"/>
      <c r="O8" s="355"/>
    </row>
    <row r="9" spans="2:15" ht="12.75">
      <c r="B9" s="5" t="s">
        <v>82</v>
      </c>
      <c r="C9" s="707">
        <f>SUM(C5:C8)</f>
        <v>20017</v>
      </c>
      <c r="D9" s="707">
        <f aca="true" t="shared" si="0" ref="D9:O9">SUM(D5:D8)</f>
        <v>36610</v>
      </c>
      <c r="E9" s="707">
        <f t="shared" si="0"/>
        <v>56999</v>
      </c>
      <c r="F9" s="707">
        <f t="shared" si="0"/>
        <v>56665</v>
      </c>
      <c r="G9" s="707">
        <f t="shared" si="0"/>
        <v>857</v>
      </c>
      <c r="H9" s="707">
        <f t="shared" si="0"/>
        <v>454747</v>
      </c>
      <c r="I9" s="708">
        <f t="shared" si="0"/>
        <v>189</v>
      </c>
      <c r="J9" s="563">
        <f t="shared" si="0"/>
        <v>0</v>
      </c>
      <c r="K9" s="564">
        <f t="shared" si="0"/>
        <v>0</v>
      </c>
      <c r="L9" s="564">
        <f t="shared" si="0"/>
        <v>0</v>
      </c>
      <c r="M9" s="564">
        <f t="shared" si="0"/>
        <v>0</v>
      </c>
      <c r="N9" s="564">
        <f t="shared" si="0"/>
        <v>0</v>
      </c>
      <c r="O9" s="564">
        <f t="shared" si="0"/>
        <v>0</v>
      </c>
    </row>
    <row r="10" spans="2:15" ht="12.75">
      <c r="B10" s="5" t="s">
        <v>24</v>
      </c>
      <c r="C10" s="707">
        <f aca="true" t="shared" si="1" ref="C10:O10">C9-C6-C20</f>
        <v>20017</v>
      </c>
      <c r="D10" s="707">
        <f t="shared" si="1"/>
        <v>36610</v>
      </c>
      <c r="E10" s="707">
        <f t="shared" si="1"/>
        <v>56999</v>
      </c>
      <c r="F10" s="707">
        <f t="shared" si="1"/>
        <v>56665</v>
      </c>
      <c r="G10" s="707">
        <f t="shared" si="1"/>
        <v>769</v>
      </c>
      <c r="H10" s="707">
        <f t="shared" si="1"/>
        <v>454690</v>
      </c>
      <c r="I10" s="708">
        <f t="shared" si="1"/>
        <v>156</v>
      </c>
      <c r="J10" s="563">
        <f t="shared" si="1"/>
        <v>0</v>
      </c>
      <c r="K10" s="564">
        <f t="shared" si="1"/>
        <v>0</v>
      </c>
      <c r="L10" s="564">
        <f t="shared" si="1"/>
        <v>0</v>
      </c>
      <c r="M10" s="564">
        <f t="shared" si="1"/>
        <v>0</v>
      </c>
      <c r="N10" s="564">
        <f t="shared" si="1"/>
        <v>0</v>
      </c>
      <c r="O10" s="564">
        <f t="shared" si="1"/>
        <v>0</v>
      </c>
    </row>
    <row r="11" spans="2:15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.75">
      <c r="B12" s="204" t="s">
        <v>279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15" ht="12.75">
      <c r="B13" s="34" t="s">
        <v>25</v>
      </c>
      <c r="C13" s="551">
        <f>C10/C4</f>
        <v>160.136</v>
      </c>
      <c r="D13" s="551">
        <f aca="true" t="shared" si="2" ref="D13:O13">D10/D4</f>
        <v>217.91666666666666</v>
      </c>
      <c r="E13" s="551">
        <f t="shared" si="2"/>
        <v>158.7715877437326</v>
      </c>
      <c r="F13" s="551">
        <f t="shared" si="2"/>
        <v>125.36504424778761</v>
      </c>
      <c r="G13" s="551">
        <f t="shared" si="2"/>
        <v>6.103174603174603</v>
      </c>
      <c r="H13" s="551">
        <f t="shared" si="2"/>
        <v>7104.53125</v>
      </c>
      <c r="I13" s="552">
        <f t="shared" si="2"/>
        <v>0.611764705882353</v>
      </c>
      <c r="J13" s="553" t="e">
        <f t="shared" si="2"/>
        <v>#DIV/0!</v>
      </c>
      <c r="K13" s="551" t="e">
        <f t="shared" si="2"/>
        <v>#DIV/0!</v>
      </c>
      <c r="L13" s="551" t="e">
        <f t="shared" si="2"/>
        <v>#DIV/0!</v>
      </c>
      <c r="M13" s="551" t="e">
        <f t="shared" si="2"/>
        <v>#DIV/0!</v>
      </c>
      <c r="N13" s="551" t="e">
        <f t="shared" si="2"/>
        <v>#DIV/0!</v>
      </c>
      <c r="O13" s="551" t="e">
        <f t="shared" si="2"/>
        <v>#DIV/0!</v>
      </c>
    </row>
    <row r="14" spans="2:15" ht="12.75">
      <c r="B14" s="3" t="s">
        <v>26</v>
      </c>
      <c r="C14" s="554">
        <f>C13/$C$13</f>
        <v>1</v>
      </c>
      <c r="D14" s="554">
        <f>D13/$C$13</f>
        <v>1.3608224675692329</v>
      </c>
      <c r="E14" s="554">
        <f aca="true" t="shared" si="3" ref="E14:O14">E13/$C$13</f>
        <v>0.9914796656824987</v>
      </c>
      <c r="F14" s="554">
        <f t="shared" si="3"/>
        <v>0.7828660903718565</v>
      </c>
      <c r="G14" s="554">
        <f t="shared" si="3"/>
        <v>0.038112445691003916</v>
      </c>
      <c r="H14" s="554">
        <f t="shared" si="3"/>
        <v>44.36560954438727</v>
      </c>
      <c r="I14" s="555">
        <f t="shared" si="3"/>
        <v>0.0038202821719185757</v>
      </c>
      <c r="J14" s="556" t="e">
        <f t="shared" si="3"/>
        <v>#DIV/0!</v>
      </c>
      <c r="K14" s="554" t="e">
        <f t="shared" si="3"/>
        <v>#DIV/0!</v>
      </c>
      <c r="L14" s="554" t="e">
        <f t="shared" si="3"/>
        <v>#DIV/0!</v>
      </c>
      <c r="M14" s="554" t="e">
        <f t="shared" si="3"/>
        <v>#DIV/0!</v>
      </c>
      <c r="N14" s="554" t="e">
        <f t="shared" si="3"/>
        <v>#DIV/0!</v>
      </c>
      <c r="O14" s="554" t="e">
        <f t="shared" si="3"/>
        <v>#DIV/0!</v>
      </c>
    </row>
    <row r="15" spans="2:15" ht="12.75">
      <c r="B15" s="3" t="s">
        <v>27</v>
      </c>
      <c r="C15" s="57"/>
      <c r="D15" s="9">
        <f>LN(D14/C14)</f>
        <v>0.30808927252261814</v>
      </c>
      <c r="E15" s="9">
        <f>LN(E14/D14)</f>
        <v>-0.316646112396159</v>
      </c>
      <c r="F15" s="9">
        <f aca="true" t="shared" si="4" ref="F15:O15">LN(F14/E14)</f>
        <v>-0.2362367789800463</v>
      </c>
      <c r="G15" s="9">
        <f t="shared" si="4"/>
        <v>-3.022420772780652</v>
      </c>
      <c r="H15" s="9">
        <f t="shared" si="4"/>
        <v>7.0596790011348824</v>
      </c>
      <c r="I15" s="74">
        <f t="shared" si="4"/>
        <v>-9.359895601597938</v>
      </c>
      <c r="J15" s="76" t="e">
        <f t="shared" si="4"/>
        <v>#DIV/0!</v>
      </c>
      <c r="K15" s="57" t="e">
        <f t="shared" si="4"/>
        <v>#DIV/0!</v>
      </c>
      <c r="L15" s="57" t="e">
        <f t="shared" si="4"/>
        <v>#DIV/0!</v>
      </c>
      <c r="M15" s="57" t="e">
        <f t="shared" si="4"/>
        <v>#DIV/0!</v>
      </c>
      <c r="N15" s="57" t="e">
        <f t="shared" si="4"/>
        <v>#DIV/0!</v>
      </c>
      <c r="O15" s="57" t="e">
        <f t="shared" si="4"/>
        <v>#DIV/0!</v>
      </c>
    </row>
    <row r="16" spans="2:15" ht="12.75">
      <c r="B16" s="3" t="s">
        <v>28</v>
      </c>
      <c r="C16" s="30">
        <f>1</f>
        <v>1</v>
      </c>
      <c r="D16" s="57">
        <f aca="true" t="shared" si="5" ref="D16:I16">D4/$C$4</f>
        <v>1.344</v>
      </c>
      <c r="E16" s="57">
        <f t="shared" si="5"/>
        <v>2.872</v>
      </c>
      <c r="F16" s="57">
        <f t="shared" si="5"/>
        <v>3.616</v>
      </c>
      <c r="G16" s="57">
        <f t="shared" si="5"/>
        <v>1.008</v>
      </c>
      <c r="H16" s="57">
        <f t="shared" si="5"/>
        <v>0.512</v>
      </c>
      <c r="I16" s="78">
        <f t="shared" si="5"/>
        <v>2.04</v>
      </c>
      <c r="J16" s="76" t="e">
        <f aca="true" t="shared" si="6" ref="J16:O16">$C$4/J4</f>
        <v>#DIV/0!</v>
      </c>
      <c r="K16" s="57" t="e">
        <f t="shared" si="6"/>
        <v>#DIV/0!</v>
      </c>
      <c r="L16" s="57" t="e">
        <f t="shared" si="6"/>
        <v>#DIV/0!</v>
      </c>
      <c r="M16" s="57" t="e">
        <f t="shared" si="6"/>
        <v>#DIV/0!</v>
      </c>
      <c r="N16" s="57" t="e">
        <f t="shared" si="6"/>
        <v>#DIV/0!</v>
      </c>
      <c r="O16" s="57" t="e">
        <f t="shared" si="6"/>
        <v>#DIV/0!</v>
      </c>
    </row>
    <row r="17" spans="2:15" ht="12.75">
      <c r="B17" s="234" t="s">
        <v>29</v>
      </c>
      <c r="C17" s="239">
        <v>0</v>
      </c>
      <c r="D17" s="239">
        <f>LN(D16/C16)</f>
        <v>0.29565024210095786</v>
      </c>
      <c r="E17" s="239">
        <f aca="true" t="shared" si="7" ref="E17:O17">LN(E16/D16)</f>
        <v>0.75935840908502</v>
      </c>
      <c r="F17" s="239">
        <f t="shared" si="7"/>
        <v>0.23035979134395237</v>
      </c>
      <c r="G17" s="239">
        <f t="shared" si="7"/>
        <v>-1.2774002728807532</v>
      </c>
      <c r="H17" s="239">
        <f t="shared" si="7"/>
        <v>-0.6773988235918061</v>
      </c>
      <c r="I17" s="240">
        <f t="shared" si="7"/>
        <v>1.3823804617987543</v>
      </c>
      <c r="J17" s="241" t="e">
        <f t="shared" si="7"/>
        <v>#DIV/0!</v>
      </c>
      <c r="K17" s="239" t="e">
        <f t="shared" si="7"/>
        <v>#DIV/0!</v>
      </c>
      <c r="L17" s="239" t="e">
        <f t="shared" si="7"/>
        <v>#DIV/0!</v>
      </c>
      <c r="M17" s="239" t="e">
        <f t="shared" si="7"/>
        <v>#DIV/0!</v>
      </c>
      <c r="N17" s="239" t="e">
        <f t="shared" si="7"/>
        <v>#DIV/0!</v>
      </c>
      <c r="O17" s="239" t="e">
        <f t="shared" si="7"/>
        <v>#DIV/0!</v>
      </c>
    </row>
    <row r="18" spans="2:15" ht="12.75">
      <c r="B18" s="77" t="s">
        <v>30</v>
      </c>
      <c r="C18" s="608"/>
      <c r="D18" s="608"/>
      <c r="E18" s="608"/>
      <c r="F18" s="608"/>
      <c r="G18" s="608"/>
      <c r="H18" s="608"/>
      <c r="I18" s="609"/>
      <c r="J18" s="610"/>
      <c r="K18" s="608"/>
      <c r="L18" s="608"/>
      <c r="M18" s="608"/>
      <c r="N18" s="608"/>
      <c r="O18" s="608"/>
    </row>
    <row r="19" spans="2:15" ht="12.75">
      <c r="B19" s="77" t="s">
        <v>31</v>
      </c>
      <c r="C19" s="608"/>
      <c r="D19" s="608"/>
      <c r="E19" s="608"/>
      <c r="F19" s="608"/>
      <c r="G19" s="608"/>
      <c r="H19" s="608"/>
      <c r="I19" s="609"/>
      <c r="J19" s="610"/>
      <c r="K19" s="608"/>
      <c r="L19" s="608"/>
      <c r="M19" s="608"/>
      <c r="N19" s="608"/>
      <c r="O19" s="608"/>
    </row>
    <row r="20" spans="2:15" ht="12.75">
      <c r="B20" s="77" t="s">
        <v>32</v>
      </c>
      <c r="C20" s="608"/>
      <c r="D20" s="608"/>
      <c r="E20" s="608"/>
      <c r="F20" s="608"/>
      <c r="G20" s="608"/>
      <c r="H20" s="608"/>
      <c r="I20" s="609"/>
      <c r="J20" s="610"/>
      <c r="K20" s="608"/>
      <c r="L20" s="608"/>
      <c r="M20" s="608"/>
      <c r="N20" s="608"/>
      <c r="O20" s="608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  <ignoredErrors>
    <ignoredError sqref="C9:I9" formulaRange="1"/>
    <ignoredError sqref="D16:I16" formula="1"/>
    <ignoredError sqref="J13:O15 J17:O17" evalError="1"/>
    <ignoredError sqref="J16:O16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6"/>
  <sheetViews>
    <sheetView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3" sqref="J23"/>
    </sheetView>
  </sheetViews>
  <sheetFormatPr defaultColWidth="9.140625" defaultRowHeight="12.75"/>
  <cols>
    <col min="1" max="1" width="3.7109375" style="42" customWidth="1"/>
    <col min="2" max="2" width="45.7109375" style="42" customWidth="1"/>
    <col min="3" max="15" width="9.28125" style="42" customWidth="1"/>
    <col min="16" max="16384" width="11.421875" style="42" customWidth="1"/>
  </cols>
  <sheetData>
    <row r="1" spans="2:15" ht="27" customHeight="1">
      <c r="B1" s="269" t="s">
        <v>289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2.75">
      <c r="B2" s="204" t="s">
        <v>278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2.75">
      <c r="B3" s="102" t="s">
        <v>58</v>
      </c>
      <c r="C3" s="92">
        <v>1998</v>
      </c>
      <c r="D3" s="92">
        <v>1999</v>
      </c>
      <c r="E3" s="92">
        <v>2000</v>
      </c>
      <c r="F3" s="92">
        <v>2001</v>
      </c>
      <c r="G3" s="92">
        <v>2002</v>
      </c>
      <c r="H3" s="92">
        <v>2003</v>
      </c>
      <c r="I3" s="93">
        <v>2004</v>
      </c>
      <c r="J3" s="94">
        <v>2005</v>
      </c>
      <c r="K3" s="92">
        <v>2006</v>
      </c>
      <c r="L3" s="92">
        <v>2007</v>
      </c>
      <c r="M3" s="92">
        <v>2008</v>
      </c>
      <c r="N3" s="92">
        <v>2009</v>
      </c>
      <c r="O3" s="92">
        <v>2010</v>
      </c>
    </row>
    <row r="4" spans="2:15" ht="12.75">
      <c r="B4" s="80" t="s">
        <v>66</v>
      </c>
      <c r="C4" s="709">
        <v>587</v>
      </c>
      <c r="D4" s="709">
        <v>15248</v>
      </c>
      <c r="E4" s="709">
        <v>33</v>
      </c>
      <c r="F4" s="709">
        <v>664</v>
      </c>
      <c r="G4" s="709">
        <v>354</v>
      </c>
      <c r="H4" s="709">
        <v>37</v>
      </c>
      <c r="I4" s="710">
        <v>555</v>
      </c>
      <c r="J4" s="546"/>
      <c r="K4" s="545"/>
      <c r="L4" s="545"/>
      <c r="M4" s="545"/>
      <c r="N4" s="545"/>
      <c r="O4" s="545"/>
    </row>
    <row r="5" spans="2:15" ht="12.75">
      <c r="B5" s="3" t="s">
        <v>9</v>
      </c>
      <c r="C5" s="711">
        <v>6455</v>
      </c>
      <c r="D5" s="711">
        <v>64</v>
      </c>
      <c r="E5" s="711">
        <v>879</v>
      </c>
      <c r="F5" s="711">
        <v>124</v>
      </c>
      <c r="G5" s="711">
        <v>56878</v>
      </c>
      <c r="H5" s="711">
        <v>256</v>
      </c>
      <c r="I5" s="712">
        <v>125</v>
      </c>
      <c r="J5" s="340"/>
      <c r="K5" s="338"/>
      <c r="L5" s="338"/>
      <c r="M5" s="338"/>
      <c r="N5" s="338"/>
      <c r="O5" s="338"/>
    </row>
    <row r="6" spans="2:15" ht="12.75">
      <c r="B6" s="3" t="s">
        <v>67</v>
      </c>
      <c r="C6" s="711">
        <v>49</v>
      </c>
      <c r="D6" s="711">
        <v>1645</v>
      </c>
      <c r="E6" s="711">
        <v>4069</v>
      </c>
      <c r="F6" s="711">
        <v>113</v>
      </c>
      <c r="G6" s="711">
        <v>32154</v>
      </c>
      <c r="H6" s="711">
        <v>248</v>
      </c>
      <c r="I6" s="712">
        <v>158</v>
      </c>
      <c r="J6" s="340"/>
      <c r="K6" s="338"/>
      <c r="L6" s="338"/>
      <c r="M6" s="338"/>
      <c r="N6" s="338"/>
      <c r="O6" s="338"/>
    </row>
    <row r="7" spans="2:15" ht="12.75">
      <c r="B7" s="3" t="s">
        <v>7</v>
      </c>
      <c r="C7" s="711">
        <v>6490</v>
      </c>
      <c r="D7" s="711">
        <v>545453</v>
      </c>
      <c r="E7" s="711">
        <v>48356</v>
      </c>
      <c r="F7" s="711">
        <v>854</v>
      </c>
      <c r="G7" s="711">
        <v>32613</v>
      </c>
      <c r="H7" s="711">
        <v>369</v>
      </c>
      <c r="I7" s="712">
        <v>645</v>
      </c>
      <c r="J7" s="340"/>
      <c r="K7" s="338"/>
      <c r="L7" s="338"/>
      <c r="M7" s="338"/>
      <c r="N7" s="338"/>
      <c r="O7" s="338"/>
    </row>
    <row r="8" spans="2:15" ht="12.75">
      <c r="B8" s="3" t="s">
        <v>68</v>
      </c>
      <c r="C8" s="711">
        <v>1548</v>
      </c>
      <c r="D8" s="711">
        <v>55</v>
      </c>
      <c r="E8" s="711">
        <v>47899</v>
      </c>
      <c r="F8" s="711">
        <v>155</v>
      </c>
      <c r="G8" s="711">
        <v>313212</v>
      </c>
      <c r="H8" s="711">
        <v>288</v>
      </c>
      <c r="I8" s="712">
        <v>12547</v>
      </c>
      <c r="J8" s="340"/>
      <c r="K8" s="338"/>
      <c r="L8" s="338"/>
      <c r="M8" s="338"/>
      <c r="N8" s="338"/>
      <c r="O8" s="338"/>
    </row>
    <row r="9" spans="2:15" ht="12.75">
      <c r="B9" s="3" t="s">
        <v>80</v>
      </c>
      <c r="C9" s="711"/>
      <c r="D9" s="711"/>
      <c r="E9" s="711">
        <v>25</v>
      </c>
      <c r="F9" s="711">
        <v>87</v>
      </c>
      <c r="G9" s="711">
        <v>2133</v>
      </c>
      <c r="H9" s="711">
        <v>1589</v>
      </c>
      <c r="I9" s="712">
        <v>15748</v>
      </c>
      <c r="J9" s="340"/>
      <c r="K9" s="338"/>
      <c r="L9" s="338"/>
      <c r="M9" s="338"/>
      <c r="N9" s="338"/>
      <c r="O9" s="338"/>
    </row>
    <row r="10" spans="2:15" ht="12.75">
      <c r="B10" s="3" t="s">
        <v>69</v>
      </c>
      <c r="C10" s="711">
        <v>6452</v>
      </c>
      <c r="D10" s="711">
        <v>6432</v>
      </c>
      <c r="E10" s="711">
        <v>45</v>
      </c>
      <c r="F10" s="711">
        <v>15698</v>
      </c>
      <c r="G10" s="711">
        <v>32323</v>
      </c>
      <c r="H10" s="711">
        <v>1873</v>
      </c>
      <c r="I10" s="712">
        <v>6667</v>
      </c>
      <c r="J10" s="340"/>
      <c r="K10" s="338"/>
      <c r="L10" s="338"/>
      <c r="M10" s="338"/>
      <c r="N10" s="338"/>
      <c r="O10" s="338"/>
    </row>
    <row r="11" spans="2:15" ht="12.75">
      <c r="B11" s="3" t="s">
        <v>70</v>
      </c>
      <c r="C11" s="711"/>
      <c r="D11" s="711"/>
      <c r="E11" s="711">
        <v>6660</v>
      </c>
      <c r="F11" s="711">
        <v>987</v>
      </c>
      <c r="G11" s="711">
        <v>25785</v>
      </c>
      <c r="H11" s="711">
        <v>1578</v>
      </c>
      <c r="I11" s="712">
        <v>8787</v>
      </c>
      <c r="J11" s="340"/>
      <c r="K11" s="338"/>
      <c r="L11" s="338"/>
      <c r="M11" s="338"/>
      <c r="N11" s="338"/>
      <c r="O11" s="338"/>
    </row>
    <row r="12" spans="2:15" ht="12.75">
      <c r="B12" s="3" t="s">
        <v>71</v>
      </c>
      <c r="C12" s="711"/>
      <c r="D12" s="711"/>
      <c r="E12" s="711"/>
      <c r="F12" s="711">
        <v>15789</v>
      </c>
      <c r="G12" s="711">
        <v>66</v>
      </c>
      <c r="H12" s="711">
        <v>1689</v>
      </c>
      <c r="I12" s="712">
        <v>2549</v>
      </c>
      <c r="J12" s="340"/>
      <c r="K12" s="338"/>
      <c r="L12" s="338"/>
      <c r="M12" s="338"/>
      <c r="N12" s="338"/>
      <c r="O12" s="338"/>
    </row>
    <row r="13" spans="2:15" ht="12.75">
      <c r="B13" s="3" t="s">
        <v>72</v>
      </c>
      <c r="C13" s="711">
        <v>6587</v>
      </c>
      <c r="D13" s="711">
        <v>15562</v>
      </c>
      <c r="E13" s="711">
        <v>54564</v>
      </c>
      <c r="F13" s="711">
        <v>64543</v>
      </c>
      <c r="G13" s="711">
        <v>16</v>
      </c>
      <c r="H13" s="711">
        <v>9545</v>
      </c>
      <c r="I13" s="712">
        <v>1564</v>
      </c>
      <c r="J13" s="340"/>
      <c r="K13" s="338"/>
      <c r="L13" s="338"/>
      <c r="M13" s="338"/>
      <c r="N13" s="338"/>
      <c r="O13" s="338"/>
    </row>
    <row r="14" spans="2:15" ht="12.75">
      <c r="B14" s="3" t="s">
        <v>73</v>
      </c>
      <c r="C14" s="711"/>
      <c r="D14" s="711"/>
      <c r="E14" s="711"/>
      <c r="F14" s="711">
        <v>5454</v>
      </c>
      <c r="G14" s="711">
        <v>16</v>
      </c>
      <c r="H14" s="711">
        <v>6989</v>
      </c>
      <c r="I14" s="712">
        <v>1873</v>
      </c>
      <c r="J14" s="340"/>
      <c r="K14" s="338"/>
      <c r="L14" s="338"/>
      <c r="M14" s="338"/>
      <c r="N14" s="338"/>
      <c r="O14" s="338"/>
    </row>
    <row r="15" spans="2:15" ht="12.75">
      <c r="B15" s="3" t="s">
        <v>74</v>
      </c>
      <c r="C15" s="711"/>
      <c r="D15" s="711"/>
      <c r="E15" s="711"/>
      <c r="F15" s="711">
        <v>14886</v>
      </c>
      <c r="G15" s="711">
        <v>55</v>
      </c>
      <c r="H15" s="711">
        <v>5999</v>
      </c>
      <c r="I15" s="712">
        <v>1875</v>
      </c>
      <c r="J15" s="340"/>
      <c r="K15" s="338"/>
      <c r="L15" s="338"/>
      <c r="M15" s="338"/>
      <c r="N15" s="338"/>
      <c r="O15" s="338"/>
    </row>
    <row r="16" spans="2:15" ht="12.75">
      <c r="B16" s="3" t="s">
        <v>75</v>
      </c>
      <c r="C16" s="711"/>
      <c r="D16" s="711"/>
      <c r="E16" s="711"/>
      <c r="F16" s="711">
        <v>89896</v>
      </c>
      <c r="G16" s="711">
        <v>232</v>
      </c>
      <c r="H16" s="711">
        <v>65658</v>
      </c>
      <c r="I16" s="712">
        <v>4873</v>
      </c>
      <c r="J16" s="340"/>
      <c r="K16" s="338"/>
      <c r="L16" s="338"/>
      <c r="M16" s="338"/>
      <c r="N16" s="338"/>
      <c r="O16" s="338"/>
    </row>
    <row r="17" spans="2:15" ht="12.75">
      <c r="B17" s="3" t="s">
        <v>76</v>
      </c>
      <c r="C17" s="711"/>
      <c r="D17" s="711"/>
      <c r="E17" s="711"/>
      <c r="F17" s="711"/>
      <c r="G17" s="711">
        <v>6980</v>
      </c>
      <c r="H17" s="711">
        <v>45456</v>
      </c>
      <c r="I17" s="712">
        <v>4563</v>
      </c>
      <c r="J17" s="340"/>
      <c r="K17" s="338"/>
      <c r="L17" s="338"/>
      <c r="M17" s="338"/>
      <c r="N17" s="338"/>
      <c r="O17" s="338"/>
    </row>
    <row r="18" spans="2:15" ht="12.75">
      <c r="B18" s="3" t="s">
        <v>77</v>
      </c>
      <c r="C18" s="711"/>
      <c r="D18" s="711"/>
      <c r="E18" s="711"/>
      <c r="F18" s="711"/>
      <c r="G18" s="711">
        <v>15</v>
      </c>
      <c r="H18" s="711">
        <v>69952</v>
      </c>
      <c r="I18" s="712">
        <v>1674</v>
      </c>
      <c r="J18" s="340"/>
      <c r="K18" s="338"/>
      <c r="L18" s="338"/>
      <c r="M18" s="338"/>
      <c r="N18" s="338"/>
      <c r="O18" s="338"/>
    </row>
    <row r="19" spans="2:15" ht="12.75">
      <c r="B19" s="3" t="s">
        <v>78</v>
      </c>
      <c r="C19" s="711"/>
      <c r="D19" s="711"/>
      <c r="E19" s="711"/>
      <c r="F19" s="711"/>
      <c r="G19" s="711">
        <v>53</v>
      </c>
      <c r="H19" s="711">
        <v>65656</v>
      </c>
      <c r="I19" s="712">
        <v>456856</v>
      </c>
      <c r="J19" s="340"/>
      <c r="K19" s="338"/>
      <c r="L19" s="338"/>
      <c r="M19" s="338"/>
      <c r="N19" s="338"/>
      <c r="O19" s="338"/>
    </row>
    <row r="20" spans="2:15" ht="12.75">
      <c r="B20" s="3" t="s">
        <v>59</v>
      </c>
      <c r="C20" s="711">
        <v>216989</v>
      </c>
      <c r="D20" s="711">
        <v>99</v>
      </c>
      <c r="E20" s="711">
        <v>664646</v>
      </c>
      <c r="F20" s="711">
        <v>6566</v>
      </c>
      <c r="G20" s="711">
        <v>51</v>
      </c>
      <c r="H20" s="711">
        <v>47898</v>
      </c>
      <c r="I20" s="712">
        <v>15645</v>
      </c>
      <c r="J20" s="340"/>
      <c r="K20" s="338"/>
      <c r="L20" s="338"/>
      <c r="M20" s="338"/>
      <c r="N20" s="338"/>
      <c r="O20" s="338"/>
    </row>
    <row r="21" spans="2:15" ht="12.75">
      <c r="B21" s="4" t="s">
        <v>222</v>
      </c>
      <c r="C21" s="713">
        <v>66</v>
      </c>
      <c r="D21" s="713">
        <v>89</v>
      </c>
      <c r="E21" s="713">
        <v>-99</v>
      </c>
      <c r="F21" s="713">
        <v>-26</v>
      </c>
      <c r="G21" s="713">
        <v>-21</v>
      </c>
      <c r="H21" s="713">
        <v>69</v>
      </c>
      <c r="I21" s="714">
        <v>-11</v>
      </c>
      <c r="J21" s="346"/>
      <c r="K21" s="347"/>
      <c r="L21" s="347"/>
      <c r="M21" s="347"/>
      <c r="N21" s="347"/>
      <c r="O21" s="347"/>
    </row>
    <row r="22" spans="2:15" ht="12.75">
      <c r="B22" s="81" t="s">
        <v>191</v>
      </c>
      <c r="C22" s="715">
        <f>C23+'Labor Q&amp;P'!C9</f>
        <v>264653</v>
      </c>
      <c r="D22" s="715">
        <f>D23+'Labor Q&amp;P'!D9</f>
        <v>606009</v>
      </c>
      <c r="E22" s="715">
        <f>E23+'Labor Q&amp;P'!E9</f>
        <v>884043</v>
      </c>
      <c r="F22" s="715">
        <f>F23+'Labor Q&amp;P'!F9</f>
        <v>271791</v>
      </c>
      <c r="G22" s="715">
        <f>G23+'Labor Q&amp;P'!G9</f>
        <v>503418</v>
      </c>
      <c r="H22" s="715">
        <f>H23+'Labor Q&amp;P'!H9</f>
        <v>779859</v>
      </c>
      <c r="I22" s="716">
        <f>I23+'Labor Q&amp;P'!I9</f>
        <v>536327</v>
      </c>
      <c r="J22" s="548"/>
      <c r="K22" s="547"/>
      <c r="L22" s="547"/>
      <c r="M22" s="547"/>
      <c r="N22" s="547"/>
      <c r="O22" s="547"/>
    </row>
    <row r="23" spans="2:15" ht="12.75">
      <c r="B23" s="82" t="s">
        <v>56</v>
      </c>
      <c r="C23" s="717">
        <f>SUM(C5:C21)</f>
        <v>244636</v>
      </c>
      <c r="D23" s="717">
        <f aca="true" t="shared" si="0" ref="D23:O23">SUM(D5:D21)</f>
        <v>569399</v>
      </c>
      <c r="E23" s="717">
        <f t="shared" si="0"/>
        <v>827044</v>
      </c>
      <c r="F23" s="717">
        <f t="shared" si="0"/>
        <v>215126</v>
      </c>
      <c r="G23" s="717">
        <f t="shared" si="0"/>
        <v>502561</v>
      </c>
      <c r="H23" s="717">
        <f t="shared" si="0"/>
        <v>325112</v>
      </c>
      <c r="I23" s="718">
        <f t="shared" si="0"/>
        <v>536138</v>
      </c>
      <c r="J23" s="348">
        <f t="shared" si="0"/>
        <v>0</v>
      </c>
      <c r="K23" s="341">
        <f t="shared" si="0"/>
        <v>0</v>
      </c>
      <c r="L23" s="341">
        <f t="shared" si="0"/>
        <v>0</v>
      </c>
      <c r="M23" s="341">
        <f t="shared" si="0"/>
        <v>0</v>
      </c>
      <c r="N23" s="341">
        <f t="shared" si="0"/>
        <v>0</v>
      </c>
      <c r="O23" s="341">
        <f t="shared" si="0"/>
        <v>0</v>
      </c>
    </row>
    <row r="24" spans="2:15" ht="12.75">
      <c r="B24" s="6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  <row r="25" spans="2:15" ht="12.75">
      <c r="B25" s="79" t="s">
        <v>79</v>
      </c>
      <c r="C25" s="292"/>
      <c r="D25" s="292"/>
      <c r="E25" s="292"/>
      <c r="F25" s="292"/>
      <c r="G25" s="292"/>
      <c r="H25" s="292"/>
      <c r="I25" s="293"/>
      <c r="J25" s="294"/>
      <c r="K25" s="292"/>
      <c r="L25" s="292"/>
      <c r="M25" s="292"/>
      <c r="N25" s="292"/>
      <c r="O25" s="292"/>
    </row>
    <row r="26" spans="2:15" ht="12.75">
      <c r="B26" s="3" t="s">
        <v>60</v>
      </c>
      <c r="C26" s="338">
        <f>'Labor Q&amp;P'!C9</f>
        <v>20017</v>
      </c>
      <c r="D26" s="338">
        <f>'Labor Q&amp;P'!D9</f>
        <v>36610</v>
      </c>
      <c r="E26" s="338">
        <f>'Labor Q&amp;P'!E9</f>
        <v>56999</v>
      </c>
      <c r="F26" s="338">
        <f>'Labor Q&amp;P'!F9</f>
        <v>56665</v>
      </c>
      <c r="G26" s="338">
        <f>'Labor Q&amp;P'!G9</f>
        <v>857</v>
      </c>
      <c r="H26" s="338">
        <f>'Labor Q&amp;P'!H9</f>
        <v>454747</v>
      </c>
      <c r="I26" s="339">
        <f>'Labor Q&amp;P'!I9</f>
        <v>189</v>
      </c>
      <c r="J26" s="340">
        <f>'Labor Q&amp;P'!J9</f>
        <v>0</v>
      </c>
      <c r="K26" s="338">
        <f>'Labor Q&amp;P'!K9</f>
        <v>0</v>
      </c>
      <c r="L26" s="338">
        <f>'Labor Q&amp;P'!L9</f>
        <v>0</v>
      </c>
      <c r="M26" s="338">
        <f>'Labor Q&amp;P'!M9</f>
        <v>0</v>
      </c>
      <c r="N26" s="338">
        <f>'Labor Q&amp;P'!N9</f>
        <v>0</v>
      </c>
      <c r="O26" s="338">
        <f>'Labor Q&amp;P'!O9</f>
        <v>0</v>
      </c>
    </row>
    <row r="27" spans="2:15" ht="12.75">
      <c r="B27" s="3" t="s">
        <v>61</v>
      </c>
      <c r="C27" s="338">
        <f>C4</f>
        <v>587</v>
      </c>
      <c r="D27" s="338">
        <f aca="true" t="shared" si="1" ref="D27:O27">D4</f>
        <v>15248</v>
      </c>
      <c r="E27" s="338">
        <f t="shared" si="1"/>
        <v>33</v>
      </c>
      <c r="F27" s="338">
        <f t="shared" si="1"/>
        <v>664</v>
      </c>
      <c r="G27" s="338">
        <f t="shared" si="1"/>
        <v>354</v>
      </c>
      <c r="H27" s="338">
        <f t="shared" si="1"/>
        <v>37</v>
      </c>
      <c r="I27" s="339">
        <f t="shared" si="1"/>
        <v>555</v>
      </c>
      <c r="J27" s="340">
        <f t="shared" si="1"/>
        <v>0</v>
      </c>
      <c r="K27" s="338">
        <f t="shared" si="1"/>
        <v>0</v>
      </c>
      <c r="L27" s="338">
        <f t="shared" si="1"/>
        <v>0</v>
      </c>
      <c r="M27" s="338">
        <f t="shared" si="1"/>
        <v>0</v>
      </c>
      <c r="N27" s="338">
        <f t="shared" si="1"/>
        <v>0</v>
      </c>
      <c r="O27" s="338">
        <f t="shared" si="1"/>
        <v>0</v>
      </c>
    </row>
    <row r="28" spans="2:15" ht="12.75">
      <c r="B28" s="3" t="s">
        <v>62</v>
      </c>
      <c r="C28" s="338">
        <f>C23-C4-C9</f>
        <v>244049</v>
      </c>
      <c r="D28" s="338">
        <f aca="true" t="shared" si="2" ref="D28:O28">D23-D4-D9</f>
        <v>554151</v>
      </c>
      <c r="E28" s="338">
        <f t="shared" si="2"/>
        <v>826986</v>
      </c>
      <c r="F28" s="338">
        <f t="shared" si="2"/>
        <v>214375</v>
      </c>
      <c r="G28" s="338">
        <f t="shared" si="2"/>
        <v>500074</v>
      </c>
      <c r="H28" s="338">
        <f t="shared" si="2"/>
        <v>323486</v>
      </c>
      <c r="I28" s="339">
        <f t="shared" si="2"/>
        <v>519835</v>
      </c>
      <c r="J28" s="340">
        <f t="shared" si="2"/>
        <v>0</v>
      </c>
      <c r="K28" s="338">
        <f t="shared" si="2"/>
        <v>0</v>
      </c>
      <c r="L28" s="338">
        <f t="shared" si="2"/>
        <v>0</v>
      </c>
      <c r="M28" s="338">
        <f t="shared" si="2"/>
        <v>0</v>
      </c>
      <c r="N28" s="338">
        <f t="shared" si="2"/>
        <v>0</v>
      </c>
      <c r="O28" s="338">
        <f t="shared" si="2"/>
        <v>0</v>
      </c>
    </row>
    <row r="29" spans="2:15" ht="12.75">
      <c r="B29" s="3" t="s">
        <v>81</v>
      </c>
      <c r="C29" s="338">
        <f>C9</f>
        <v>0</v>
      </c>
      <c r="D29" s="338">
        <f aca="true" t="shared" si="3" ref="D29:O29">D9</f>
        <v>0</v>
      </c>
      <c r="E29" s="338">
        <f t="shared" si="3"/>
        <v>25</v>
      </c>
      <c r="F29" s="338">
        <f t="shared" si="3"/>
        <v>87</v>
      </c>
      <c r="G29" s="338">
        <f t="shared" si="3"/>
        <v>2133</v>
      </c>
      <c r="H29" s="338">
        <f t="shared" si="3"/>
        <v>1589</v>
      </c>
      <c r="I29" s="339">
        <f t="shared" si="3"/>
        <v>15748</v>
      </c>
      <c r="J29" s="340">
        <f t="shared" si="3"/>
        <v>0</v>
      </c>
      <c r="K29" s="338">
        <f t="shared" si="3"/>
        <v>0</v>
      </c>
      <c r="L29" s="338">
        <f t="shared" si="3"/>
        <v>0</v>
      </c>
      <c r="M29" s="338">
        <f t="shared" si="3"/>
        <v>0</v>
      </c>
      <c r="N29" s="338">
        <f t="shared" si="3"/>
        <v>0</v>
      </c>
      <c r="O29" s="338">
        <f t="shared" si="3"/>
        <v>0</v>
      </c>
    </row>
    <row r="30" spans="2:15" ht="12.75">
      <c r="B30" s="83" t="s">
        <v>56</v>
      </c>
      <c r="C30" s="509">
        <f aca="true" t="shared" si="4" ref="C30:O30">SUM(C26:C29)</f>
        <v>264653</v>
      </c>
      <c r="D30" s="509">
        <f t="shared" si="4"/>
        <v>606009</v>
      </c>
      <c r="E30" s="509">
        <f t="shared" si="4"/>
        <v>884043</v>
      </c>
      <c r="F30" s="509">
        <f t="shared" si="4"/>
        <v>271791</v>
      </c>
      <c r="G30" s="509">
        <f t="shared" si="4"/>
        <v>503418</v>
      </c>
      <c r="H30" s="509">
        <f t="shared" si="4"/>
        <v>779859</v>
      </c>
      <c r="I30" s="549">
        <f t="shared" si="4"/>
        <v>536327</v>
      </c>
      <c r="J30" s="550">
        <f t="shared" si="4"/>
        <v>0</v>
      </c>
      <c r="K30" s="509">
        <f t="shared" si="4"/>
        <v>0</v>
      </c>
      <c r="L30" s="509">
        <f t="shared" si="4"/>
        <v>0</v>
      </c>
      <c r="M30" s="509">
        <f t="shared" si="4"/>
        <v>0</v>
      </c>
      <c r="N30" s="509">
        <f t="shared" si="4"/>
        <v>0</v>
      </c>
      <c r="O30" s="509">
        <f t="shared" si="4"/>
        <v>0</v>
      </c>
    </row>
    <row r="31" spans="2:15" ht="12.75">
      <c r="B31" s="8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2.75">
      <c r="B32" s="204" t="s">
        <v>159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34" t="s">
        <v>9</v>
      </c>
      <c r="C33" s="295">
        <f>'Price Indices'!C45</f>
        <v>1</v>
      </c>
      <c r="D33" s="296">
        <f>'Price Indices'!D45</f>
        <v>1.7274673276250565</v>
      </c>
      <c r="E33" s="296">
        <f>'Price Indices'!E45</f>
        <v>2.4440063091482656</v>
      </c>
      <c r="F33" s="296">
        <f>'Price Indices'!F45</f>
        <v>3.2741099594411907</v>
      </c>
      <c r="G33" s="296">
        <f>'Price Indices'!G45</f>
        <v>3.724087426768816</v>
      </c>
      <c r="H33" s="296">
        <f>'Price Indices'!H45</f>
        <v>3.7575031741230283</v>
      </c>
      <c r="I33" s="297">
        <f>'Price Indices'!I45</f>
        <v>3.3579855173563327</v>
      </c>
      <c r="J33" s="298"/>
      <c r="K33" s="299"/>
      <c r="L33" s="299"/>
      <c r="M33" s="299"/>
      <c r="N33" s="299"/>
      <c r="O33" s="299"/>
    </row>
    <row r="34" spans="2:15" ht="12.75">
      <c r="B34" s="3" t="s">
        <v>67</v>
      </c>
      <c r="C34" s="300">
        <f>'Price Indices'!C46</f>
        <v>1</v>
      </c>
      <c r="D34" s="301">
        <f>'Price Indices'!D46</f>
        <v>1.458</v>
      </c>
      <c r="E34" s="301">
        <f>'Price Indices'!E46</f>
        <v>2.1243060000000002</v>
      </c>
      <c r="F34" s="301">
        <f>'Price Indices'!F46</f>
        <v>2.8571915700000003</v>
      </c>
      <c r="G34" s="301">
        <f>'Price Indices'!G46</f>
        <v>3.500059673250001</v>
      </c>
      <c r="H34" s="301">
        <f>'Price Indices'!H46</f>
        <v>4.035568803257251</v>
      </c>
      <c r="I34" s="302">
        <f>'Price Indices'!I46</f>
        <v>4.515801490844864</v>
      </c>
      <c r="J34" s="303"/>
      <c r="K34" s="304"/>
      <c r="L34" s="304"/>
      <c r="M34" s="304"/>
      <c r="N34" s="304"/>
      <c r="O34" s="304"/>
    </row>
    <row r="35" spans="2:15" ht="12.75">
      <c r="B35" s="3" t="s">
        <v>7</v>
      </c>
      <c r="C35" s="305">
        <f>'Price Indices'!C47</f>
        <v>1</v>
      </c>
      <c r="D35" s="306">
        <f>'Price Indices'!D47</f>
        <v>1.7269999999999999</v>
      </c>
      <c r="E35" s="306">
        <f>'Price Indices'!E47</f>
        <v>2.345266</v>
      </c>
      <c r="F35" s="306">
        <f>'Price Indices'!F47</f>
        <v>3.1027869180000005</v>
      </c>
      <c r="G35" s="306">
        <f>'Price Indices'!G47</f>
        <v>3.620952333306001</v>
      </c>
      <c r="H35" s="306">
        <f>'Price Indices'!H47</f>
        <v>3.983047566636601</v>
      </c>
      <c r="I35" s="307">
        <f>'Price Indices'!I47</f>
        <v>4.118471183902246</v>
      </c>
      <c r="J35" s="303"/>
      <c r="K35" s="304"/>
      <c r="L35" s="304"/>
      <c r="M35" s="304"/>
      <c r="N35" s="304"/>
      <c r="O35" s="304"/>
    </row>
    <row r="36" spans="2:15" ht="12.75">
      <c r="B36" s="3" t="s">
        <v>68</v>
      </c>
      <c r="C36" s="305">
        <f>'Price Indices'!C48</f>
        <v>1</v>
      </c>
      <c r="D36" s="306">
        <f>'Price Indices'!D48</f>
        <v>1.621</v>
      </c>
      <c r="E36" s="306">
        <f>'Price Indices'!E48</f>
        <v>2.303441</v>
      </c>
      <c r="F36" s="306">
        <f>'Price Indices'!F48</f>
        <v>3.287010306999999</v>
      </c>
      <c r="G36" s="306">
        <f>'Price Indices'!G48</f>
        <v>3.9411253580929992</v>
      </c>
      <c r="H36" s="306">
        <f>'Price Indices'!H48</f>
        <v>4.642645671833553</v>
      </c>
      <c r="I36" s="630">
        <f>'Price Indices'!I48</f>
        <v>5.362255750967754</v>
      </c>
      <c r="J36" s="303"/>
      <c r="K36" s="304"/>
      <c r="L36" s="304"/>
      <c r="M36" s="304"/>
      <c r="N36" s="304"/>
      <c r="O36" s="304"/>
    </row>
    <row r="37" spans="2:15" ht="12.75">
      <c r="B37" s="3" t="s">
        <v>80</v>
      </c>
      <c r="C37" s="305">
        <f>'Price Indices'!C49</f>
        <v>1</v>
      </c>
      <c r="D37" s="306">
        <f>'Price Indices'!D49</f>
        <v>1.866684549356223</v>
      </c>
      <c r="E37" s="306">
        <f>'Price Indices'!E49</f>
        <v>2.557135193133047</v>
      </c>
      <c r="F37" s="306">
        <f>'Price Indices'!F49</f>
        <v>3.2194332081545065</v>
      </c>
      <c r="G37" s="306">
        <f>'Price Indices'!G49</f>
        <v>3.9405453326180258</v>
      </c>
      <c r="H37" s="306">
        <f>'Price Indices'!H49</f>
        <v>4.538914967811159</v>
      </c>
      <c r="I37" s="630">
        <f>'Price Indices'!I49</f>
        <v>4.9478712064109445</v>
      </c>
      <c r="J37" s="303"/>
      <c r="K37" s="304"/>
      <c r="L37" s="304"/>
      <c r="M37" s="304"/>
      <c r="N37" s="304"/>
      <c r="O37" s="304"/>
    </row>
    <row r="38" spans="2:15" ht="12.75">
      <c r="B38" s="3" t="s">
        <v>69</v>
      </c>
      <c r="C38" s="305">
        <f>'Price Indices'!C50</f>
        <v>1</v>
      </c>
      <c r="D38" s="306">
        <f>'Price Indices'!D50</f>
        <v>1.4041139240506328</v>
      </c>
      <c r="E38" s="306">
        <f>'Price Indices'!E50</f>
        <v>2.1341772151898732</v>
      </c>
      <c r="F38" s="306">
        <f>'Price Indices'!F50</f>
        <v>2.9729088607594933</v>
      </c>
      <c r="G38" s="306">
        <f>'Price Indices'!G50</f>
        <v>3.5875518987341763</v>
      </c>
      <c r="H38" s="306">
        <f>'Price Indices'!H50</f>
        <v>4.330245569620252</v>
      </c>
      <c r="I38" s="630">
        <f>'Price Indices'!I50</f>
        <v>5.134805196455694</v>
      </c>
      <c r="J38" s="303"/>
      <c r="K38" s="304"/>
      <c r="L38" s="304"/>
      <c r="M38" s="304"/>
      <c r="N38" s="304"/>
      <c r="O38" s="304"/>
    </row>
    <row r="39" spans="2:15" ht="12.75">
      <c r="B39" s="3" t="s">
        <v>70</v>
      </c>
      <c r="C39" s="305">
        <f>'Price Indices'!C51</f>
        <v>1</v>
      </c>
      <c r="D39" s="306">
        <f>'Price Indices'!D51</f>
        <v>1.7269999999999999</v>
      </c>
      <c r="E39" s="306">
        <f>'Price Indices'!E51</f>
        <v>2.345266</v>
      </c>
      <c r="F39" s="306">
        <f>'Price Indices'!F51</f>
        <v>3.1027869180000005</v>
      </c>
      <c r="G39" s="306">
        <f>'Price Indices'!G51</f>
        <v>3.620952333306001</v>
      </c>
      <c r="H39" s="306">
        <f>'Price Indices'!H51</f>
        <v>3.983047566636601</v>
      </c>
      <c r="I39" s="630">
        <f>'Price Indices'!I51</f>
        <v>4.118471183902246</v>
      </c>
      <c r="J39" s="303"/>
      <c r="K39" s="304"/>
      <c r="L39" s="304"/>
      <c r="M39" s="304"/>
      <c r="N39" s="304"/>
      <c r="O39" s="304"/>
    </row>
    <row r="40" spans="2:15" ht="12.75">
      <c r="B40" s="3" t="s">
        <v>71</v>
      </c>
      <c r="C40" s="305">
        <f>'Price Indices'!C52</f>
        <v>1</v>
      </c>
      <c r="D40" s="306">
        <f>'Price Indices'!D52</f>
        <v>1.4580000000000002</v>
      </c>
      <c r="E40" s="306">
        <f>'Price Indices'!E52</f>
        <v>2.124306</v>
      </c>
      <c r="F40" s="306">
        <f>'Price Indices'!F52</f>
        <v>2.85719157</v>
      </c>
      <c r="G40" s="306">
        <f>'Price Indices'!G52</f>
        <v>3.5000596732499996</v>
      </c>
      <c r="H40" s="306">
        <f>'Price Indices'!H52</f>
        <v>4.03556880325725</v>
      </c>
      <c r="I40" s="630">
        <f>'Price Indices'!I52</f>
        <v>4.515801490844862</v>
      </c>
      <c r="J40" s="303"/>
      <c r="K40" s="304"/>
      <c r="L40" s="304"/>
      <c r="M40" s="304"/>
      <c r="N40" s="304"/>
      <c r="O40" s="304"/>
    </row>
    <row r="41" spans="2:15" ht="12.75">
      <c r="B41" s="3" t="s">
        <v>72</v>
      </c>
      <c r="C41" s="305">
        <f>'Price Indices'!C53</f>
        <v>1</v>
      </c>
      <c r="D41" s="306">
        <f>'Price Indices'!D53</f>
        <v>1.4335564053537282</v>
      </c>
      <c r="E41" s="306">
        <f>'Price Indices'!E53</f>
        <v>2.060946462715105</v>
      </c>
      <c r="F41" s="306">
        <f>'Price Indices'!F53</f>
        <v>2.918300191204588</v>
      </c>
      <c r="G41" s="306">
        <f>'Price Indices'!G53</f>
        <v>4.282646749521988</v>
      </c>
      <c r="H41" s="306">
        <f>'Price Indices'!H53</f>
        <v>4.9936732791587</v>
      </c>
      <c r="I41" s="630">
        <f>'Price Indices'!I53</f>
        <v>6.04683897373327</v>
      </c>
      <c r="J41" s="303"/>
      <c r="K41" s="304"/>
      <c r="L41" s="304"/>
      <c r="M41" s="304"/>
      <c r="N41" s="304"/>
      <c r="O41" s="304"/>
    </row>
    <row r="42" spans="2:15" ht="12.75">
      <c r="B42" s="3" t="s">
        <v>73</v>
      </c>
      <c r="C42" s="305">
        <f>'Price Indices'!C54</f>
        <v>1</v>
      </c>
      <c r="D42" s="306">
        <f>'Price Indices'!D54</f>
        <v>1.4580000000000002</v>
      </c>
      <c r="E42" s="306">
        <f>'Price Indices'!E54</f>
        <v>2.124306</v>
      </c>
      <c r="F42" s="306">
        <f>'Price Indices'!F54</f>
        <v>2.85719157</v>
      </c>
      <c r="G42" s="306">
        <f>'Price Indices'!G54</f>
        <v>3.5000596732499996</v>
      </c>
      <c r="H42" s="306">
        <f>'Price Indices'!H54</f>
        <v>4.03556880325725</v>
      </c>
      <c r="I42" s="630">
        <f>'Price Indices'!I54</f>
        <v>4.515801490844862</v>
      </c>
      <c r="J42" s="303"/>
      <c r="K42" s="304"/>
      <c r="L42" s="304"/>
      <c r="M42" s="304"/>
      <c r="N42" s="304"/>
      <c r="O42" s="304"/>
    </row>
    <row r="43" spans="2:15" ht="12.75">
      <c r="B43" s="3" t="s">
        <v>74</v>
      </c>
      <c r="C43" s="305">
        <f>'Price Indices'!C55</f>
        <v>1</v>
      </c>
      <c r="D43" s="306">
        <f>'Price Indices'!D55</f>
        <v>1.4041139240506328</v>
      </c>
      <c r="E43" s="306">
        <f>'Price Indices'!E55</f>
        <v>2.1341772151898732</v>
      </c>
      <c r="F43" s="306">
        <f>'Price Indices'!F55</f>
        <v>2.9729088607594933</v>
      </c>
      <c r="G43" s="306">
        <f>'Price Indices'!G55</f>
        <v>3.5875518987341763</v>
      </c>
      <c r="H43" s="306">
        <f>'Price Indices'!H55</f>
        <v>4.330245569620252</v>
      </c>
      <c r="I43" s="630">
        <f>'Price Indices'!I55</f>
        <v>5.134805196455694</v>
      </c>
      <c r="J43" s="303"/>
      <c r="K43" s="304"/>
      <c r="L43" s="304"/>
      <c r="M43" s="304"/>
      <c r="N43" s="304"/>
      <c r="O43" s="304"/>
    </row>
    <row r="44" spans="2:15" ht="12.75">
      <c r="B44" s="3" t="s">
        <v>75</v>
      </c>
      <c r="C44" s="305">
        <f>'Price Indices'!C56</f>
        <v>1</v>
      </c>
      <c r="D44" s="306">
        <f>'Price Indices'!D56</f>
        <v>1.4580000000000002</v>
      </c>
      <c r="E44" s="306">
        <f>'Price Indices'!E56</f>
        <v>2.124306</v>
      </c>
      <c r="F44" s="306">
        <f>'Price Indices'!F56</f>
        <v>2.85719157</v>
      </c>
      <c r="G44" s="306">
        <f>'Price Indices'!G56</f>
        <v>3.5000596732499996</v>
      </c>
      <c r="H44" s="306">
        <f>'Price Indices'!H56</f>
        <v>4.03556880325725</v>
      </c>
      <c r="I44" s="630">
        <f>'Price Indices'!I56</f>
        <v>4.515801490844862</v>
      </c>
      <c r="J44" s="303"/>
      <c r="K44" s="304"/>
      <c r="L44" s="304"/>
      <c r="M44" s="304"/>
      <c r="N44" s="304"/>
      <c r="O44" s="304"/>
    </row>
    <row r="45" spans="2:15" ht="12.75">
      <c r="B45" s="3" t="s">
        <v>76</v>
      </c>
      <c r="C45" s="305">
        <f>'Price Indices'!C57</f>
        <v>1</v>
      </c>
      <c r="D45" s="306">
        <f>'Price Indices'!D57</f>
        <v>30.003</v>
      </c>
      <c r="E45" s="306">
        <f>'Price Indices'!E57</f>
        <v>47.524752</v>
      </c>
      <c r="F45" s="306">
        <f>'Price Indices'!F57</f>
        <v>53.750494511999996</v>
      </c>
      <c r="G45" s="306">
        <f>'Price Indices'!G57</f>
        <v>66.704363689392</v>
      </c>
      <c r="H45" s="306">
        <f>'Price Indices'!H57</f>
        <v>77.04354006124775</v>
      </c>
      <c r="I45" s="630">
        <f>'Price Indices'!I57</f>
        <v>89.29346293098615</v>
      </c>
      <c r="J45" s="303"/>
      <c r="K45" s="304"/>
      <c r="L45" s="304"/>
      <c r="M45" s="304"/>
      <c r="N45" s="304"/>
      <c r="O45" s="304"/>
    </row>
    <row r="46" spans="2:15" ht="12.75">
      <c r="B46" s="3" t="s">
        <v>77</v>
      </c>
      <c r="C46" s="305">
        <f>'Price Indices'!C58</f>
        <v>1</v>
      </c>
      <c r="D46" s="306">
        <f>'Price Indices'!D58</f>
        <v>1.4580000000000002</v>
      </c>
      <c r="E46" s="306">
        <f>'Price Indices'!E58</f>
        <v>2.124306</v>
      </c>
      <c r="F46" s="306">
        <f>'Price Indices'!F58</f>
        <v>2.85719157</v>
      </c>
      <c r="G46" s="306">
        <f>'Price Indices'!G58</f>
        <v>3.5000596732499996</v>
      </c>
      <c r="H46" s="306">
        <f>'Price Indices'!H58</f>
        <v>4.03556880325725</v>
      </c>
      <c r="I46" s="630">
        <f>'Price Indices'!I58</f>
        <v>4.515801490844862</v>
      </c>
      <c r="J46" s="303"/>
      <c r="K46" s="304"/>
      <c r="L46" s="304"/>
      <c r="M46" s="304"/>
      <c r="N46" s="304"/>
      <c r="O46" s="304"/>
    </row>
    <row r="47" spans="2:15" ht="12.75">
      <c r="B47" s="3" t="s">
        <v>78</v>
      </c>
      <c r="C47" s="308">
        <f>'Price Indices'!C59</f>
        <v>1</v>
      </c>
      <c r="D47" s="309">
        <f>'Price Indices'!D59</f>
        <v>1.4041139240506328</v>
      </c>
      <c r="E47" s="309">
        <f>'Price Indices'!E59</f>
        <v>2.1341772151898732</v>
      </c>
      <c r="F47" s="309">
        <f>'Price Indices'!F59</f>
        <v>2.9729088607594933</v>
      </c>
      <c r="G47" s="309">
        <f>'Price Indices'!G59</f>
        <v>3.5875518987341763</v>
      </c>
      <c r="H47" s="309">
        <f>'Price Indices'!H59</f>
        <v>4.330245569620252</v>
      </c>
      <c r="I47" s="631">
        <f>'Price Indices'!I59</f>
        <v>5.134805196455694</v>
      </c>
      <c r="J47" s="310"/>
      <c r="K47" s="75"/>
      <c r="L47" s="75"/>
      <c r="M47" s="75"/>
      <c r="N47" s="75"/>
      <c r="O47" s="75"/>
    </row>
    <row r="48" spans="2:15" ht="12.75">
      <c r="B48" s="47" t="s">
        <v>59</v>
      </c>
      <c r="C48" s="311">
        <f>'Price Indices'!C60</f>
        <v>1</v>
      </c>
      <c r="D48" s="309">
        <f>'Price Indices'!D60</f>
        <v>1.4041139240506328</v>
      </c>
      <c r="E48" s="309">
        <f>'Price Indices'!E60</f>
        <v>2.1341772151898732</v>
      </c>
      <c r="F48" s="309">
        <f>'Price Indices'!F60</f>
        <v>2.9729088607594933</v>
      </c>
      <c r="G48" s="309">
        <f>'Price Indices'!G60</f>
        <v>3.5875518987341763</v>
      </c>
      <c r="H48" s="309">
        <f>'Price Indices'!H60</f>
        <v>4.330245569620252</v>
      </c>
      <c r="I48" s="632">
        <f>'Price Indices'!I60</f>
        <v>5.134805196455694</v>
      </c>
      <c r="J48" s="312"/>
      <c r="K48" s="313"/>
      <c r="L48" s="313"/>
      <c r="M48" s="313"/>
      <c r="N48" s="313"/>
      <c r="O48" s="313"/>
    </row>
    <row r="49" spans="2:15" ht="12.7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2.75">
      <c r="B50" s="204" t="s">
        <v>277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 ht="12.75">
      <c r="B51" s="34" t="s">
        <v>9</v>
      </c>
      <c r="C51" s="8">
        <f aca="true" t="shared" si="5" ref="C51:O65">C5/C$23</f>
        <v>0.026386141042201473</v>
      </c>
      <c r="D51" s="8">
        <f t="shared" si="5"/>
        <v>0.00011239921390799773</v>
      </c>
      <c r="E51" s="8">
        <f t="shared" si="5"/>
        <v>0.0010628213251048311</v>
      </c>
      <c r="F51" s="8">
        <f t="shared" si="5"/>
        <v>0.0005764063850952465</v>
      </c>
      <c r="G51" s="8">
        <f t="shared" si="5"/>
        <v>0.11317631093538894</v>
      </c>
      <c r="H51" s="8">
        <f t="shared" si="5"/>
        <v>0.0007874209503186594</v>
      </c>
      <c r="I51" s="87">
        <f t="shared" si="5"/>
        <v>0.0002331489280744883</v>
      </c>
      <c r="J51" s="314" t="e">
        <f t="shared" si="5"/>
        <v>#DIV/0!</v>
      </c>
      <c r="K51" s="315" t="e">
        <f t="shared" si="5"/>
        <v>#DIV/0!</v>
      </c>
      <c r="L51" s="315" t="e">
        <f t="shared" si="5"/>
        <v>#DIV/0!</v>
      </c>
      <c r="M51" s="315" t="e">
        <f t="shared" si="5"/>
        <v>#DIV/0!</v>
      </c>
      <c r="N51" s="315" t="e">
        <f t="shared" si="5"/>
        <v>#DIV/0!</v>
      </c>
      <c r="O51" s="315" t="e">
        <f t="shared" si="5"/>
        <v>#DIV/0!</v>
      </c>
    </row>
    <row r="52" spans="2:15" ht="12.75">
      <c r="B52" s="2" t="s">
        <v>67</v>
      </c>
      <c r="C52" s="88">
        <f t="shared" si="5"/>
        <v>0.00020029758498340392</v>
      </c>
      <c r="D52" s="88">
        <f t="shared" si="5"/>
        <v>0.0028890110449790044</v>
      </c>
      <c r="E52" s="88">
        <f t="shared" si="5"/>
        <v>0.004919931708591079</v>
      </c>
      <c r="F52" s="88">
        <f t="shared" si="5"/>
        <v>0.0005252735606109907</v>
      </c>
      <c r="G52" s="88">
        <f t="shared" si="5"/>
        <v>0.06398029293956356</v>
      </c>
      <c r="H52" s="88">
        <f t="shared" si="5"/>
        <v>0.0007628140456212013</v>
      </c>
      <c r="I52" s="89">
        <f t="shared" si="5"/>
        <v>0.0002947002450861532</v>
      </c>
      <c r="J52" s="316" t="e">
        <f t="shared" si="5"/>
        <v>#DIV/0!</v>
      </c>
      <c r="K52" s="317" t="e">
        <f t="shared" si="5"/>
        <v>#DIV/0!</v>
      </c>
      <c r="L52" s="317" t="e">
        <f t="shared" si="5"/>
        <v>#DIV/0!</v>
      </c>
      <c r="M52" s="317" t="e">
        <f t="shared" si="5"/>
        <v>#DIV/0!</v>
      </c>
      <c r="N52" s="317" t="e">
        <f t="shared" si="5"/>
        <v>#DIV/0!</v>
      </c>
      <c r="O52" s="317" t="e">
        <f t="shared" si="5"/>
        <v>#DIV/0!</v>
      </c>
    </row>
    <row r="53" spans="2:15" ht="12.75">
      <c r="B53" s="2" t="s">
        <v>7</v>
      </c>
      <c r="C53" s="88">
        <f t="shared" si="5"/>
        <v>0.026529210745761048</v>
      </c>
      <c r="D53" s="88">
        <f t="shared" si="5"/>
        <v>0.9579451316212357</v>
      </c>
      <c r="E53" s="88">
        <f t="shared" si="5"/>
        <v>0.058468473261398424</v>
      </c>
      <c r="F53" s="88">
        <f t="shared" si="5"/>
        <v>0.003969766555414036</v>
      </c>
      <c r="G53" s="88">
        <f t="shared" si="5"/>
        <v>0.06489361490445936</v>
      </c>
      <c r="H53" s="88">
        <f t="shared" si="5"/>
        <v>0.0011349934791702553</v>
      </c>
      <c r="I53" s="89">
        <f t="shared" si="5"/>
        <v>0.0012030484688643596</v>
      </c>
      <c r="J53" s="316" t="e">
        <f t="shared" si="5"/>
        <v>#DIV/0!</v>
      </c>
      <c r="K53" s="317" t="e">
        <f t="shared" si="5"/>
        <v>#DIV/0!</v>
      </c>
      <c r="L53" s="317" t="e">
        <f t="shared" si="5"/>
        <v>#DIV/0!</v>
      </c>
      <c r="M53" s="317" t="e">
        <f t="shared" si="5"/>
        <v>#DIV/0!</v>
      </c>
      <c r="N53" s="317" t="e">
        <f t="shared" si="5"/>
        <v>#DIV/0!</v>
      </c>
      <c r="O53" s="317" t="e">
        <f t="shared" si="5"/>
        <v>#DIV/0!</v>
      </c>
    </row>
    <row r="54" spans="2:15" ht="12.75">
      <c r="B54" s="2" t="s">
        <v>68</v>
      </c>
      <c r="C54" s="88">
        <f t="shared" si="5"/>
        <v>0.006327768603149169</v>
      </c>
      <c r="D54" s="88">
        <f t="shared" si="5"/>
        <v>9.659307445218555E-05</v>
      </c>
      <c r="E54" s="88">
        <f t="shared" si="5"/>
        <v>0.05791590290238488</v>
      </c>
      <c r="F54" s="88">
        <f t="shared" si="5"/>
        <v>0.0007205079813690582</v>
      </c>
      <c r="G54" s="88">
        <f t="shared" si="5"/>
        <v>0.6232318066861535</v>
      </c>
      <c r="H54" s="88">
        <f t="shared" si="5"/>
        <v>0.0008858485691084918</v>
      </c>
      <c r="I54" s="89">
        <f t="shared" si="5"/>
        <v>0.023402556804404836</v>
      </c>
      <c r="J54" s="316" t="e">
        <f t="shared" si="5"/>
        <v>#DIV/0!</v>
      </c>
      <c r="K54" s="317" t="e">
        <f t="shared" si="5"/>
        <v>#DIV/0!</v>
      </c>
      <c r="L54" s="317" t="e">
        <f t="shared" si="5"/>
        <v>#DIV/0!</v>
      </c>
      <c r="M54" s="317" t="e">
        <f t="shared" si="5"/>
        <v>#DIV/0!</v>
      </c>
      <c r="N54" s="317" t="e">
        <f t="shared" si="5"/>
        <v>#DIV/0!</v>
      </c>
      <c r="O54" s="317" t="e">
        <f t="shared" si="5"/>
        <v>#DIV/0!</v>
      </c>
    </row>
    <row r="55" spans="2:15" ht="12.75">
      <c r="B55" s="2" t="s">
        <v>80</v>
      </c>
      <c r="C55" s="88">
        <f t="shared" si="5"/>
        <v>0</v>
      </c>
      <c r="D55" s="88">
        <f t="shared" si="5"/>
        <v>0</v>
      </c>
      <c r="E55" s="88">
        <f t="shared" si="5"/>
        <v>3.022813780161636E-05</v>
      </c>
      <c r="F55" s="88">
        <f t="shared" si="5"/>
        <v>0.0004044141572845681</v>
      </c>
      <c r="G55" s="88">
        <f t="shared" si="5"/>
        <v>0.004244260895692264</v>
      </c>
      <c r="H55" s="88">
        <f t="shared" si="5"/>
        <v>0.004887546445532616</v>
      </c>
      <c r="I55" s="89">
        <f t="shared" si="5"/>
        <v>0.029373034554536333</v>
      </c>
      <c r="J55" s="316" t="e">
        <f t="shared" si="5"/>
        <v>#DIV/0!</v>
      </c>
      <c r="K55" s="317" t="e">
        <f t="shared" si="5"/>
        <v>#DIV/0!</v>
      </c>
      <c r="L55" s="317" t="e">
        <f t="shared" si="5"/>
        <v>#DIV/0!</v>
      </c>
      <c r="M55" s="317" t="e">
        <f t="shared" si="5"/>
        <v>#DIV/0!</v>
      </c>
      <c r="N55" s="317" t="e">
        <f t="shared" si="5"/>
        <v>#DIV/0!</v>
      </c>
      <c r="O55" s="317" t="e">
        <f t="shared" si="5"/>
        <v>#DIV/0!</v>
      </c>
    </row>
    <row r="56" spans="2:15" ht="12.75">
      <c r="B56" s="2" t="s">
        <v>69</v>
      </c>
      <c r="C56" s="88">
        <f t="shared" si="5"/>
        <v>0.02637387792475351</v>
      </c>
      <c r="D56" s="88">
        <f t="shared" si="5"/>
        <v>0.011296120997753772</v>
      </c>
      <c r="E56" s="88">
        <f t="shared" si="5"/>
        <v>5.4410648042909444E-05</v>
      </c>
      <c r="F56" s="88">
        <f t="shared" si="5"/>
        <v>0.07297118897762242</v>
      </c>
      <c r="G56" s="88">
        <f t="shared" si="5"/>
        <v>0.06431657052576702</v>
      </c>
      <c r="H56" s="88">
        <f t="shared" si="5"/>
        <v>0.00576109156229238</v>
      </c>
      <c r="I56" s="89">
        <f t="shared" si="5"/>
        <v>0.012435231227780907</v>
      </c>
      <c r="J56" s="316" t="e">
        <f t="shared" si="5"/>
        <v>#DIV/0!</v>
      </c>
      <c r="K56" s="317" t="e">
        <f t="shared" si="5"/>
        <v>#DIV/0!</v>
      </c>
      <c r="L56" s="317" t="e">
        <f t="shared" si="5"/>
        <v>#DIV/0!</v>
      </c>
      <c r="M56" s="317" t="e">
        <f t="shared" si="5"/>
        <v>#DIV/0!</v>
      </c>
      <c r="N56" s="317" t="e">
        <f t="shared" si="5"/>
        <v>#DIV/0!</v>
      </c>
      <c r="O56" s="317" t="e">
        <f t="shared" si="5"/>
        <v>#DIV/0!</v>
      </c>
    </row>
    <row r="57" spans="2:15" ht="12.75">
      <c r="B57" s="2" t="s">
        <v>70</v>
      </c>
      <c r="C57" s="88">
        <f t="shared" si="5"/>
        <v>0</v>
      </c>
      <c r="D57" s="88">
        <f t="shared" si="5"/>
        <v>0</v>
      </c>
      <c r="E57" s="88">
        <f t="shared" si="5"/>
        <v>0.008052775910350599</v>
      </c>
      <c r="F57" s="88">
        <f t="shared" si="5"/>
        <v>0.004588008887814583</v>
      </c>
      <c r="G57" s="88">
        <f t="shared" si="5"/>
        <v>0.051307204498558384</v>
      </c>
      <c r="H57" s="88">
        <f t="shared" si="5"/>
        <v>0.004853711951573612</v>
      </c>
      <c r="I57" s="89">
        <f t="shared" si="5"/>
        <v>0.016389437047924227</v>
      </c>
      <c r="J57" s="316" t="e">
        <f t="shared" si="5"/>
        <v>#DIV/0!</v>
      </c>
      <c r="K57" s="317" t="e">
        <f t="shared" si="5"/>
        <v>#DIV/0!</v>
      </c>
      <c r="L57" s="317" t="e">
        <f t="shared" si="5"/>
        <v>#DIV/0!</v>
      </c>
      <c r="M57" s="317" t="e">
        <f t="shared" si="5"/>
        <v>#DIV/0!</v>
      </c>
      <c r="N57" s="317" t="e">
        <f t="shared" si="5"/>
        <v>#DIV/0!</v>
      </c>
      <c r="O57" s="317" t="e">
        <f t="shared" si="5"/>
        <v>#DIV/0!</v>
      </c>
    </row>
    <row r="58" spans="2:15" ht="12.75">
      <c r="B58" s="2" t="s">
        <v>71</v>
      </c>
      <c r="C58" s="88">
        <f t="shared" si="5"/>
        <v>0</v>
      </c>
      <c r="D58" s="88">
        <f t="shared" si="5"/>
        <v>0</v>
      </c>
      <c r="E58" s="88">
        <f t="shared" si="5"/>
        <v>0</v>
      </c>
      <c r="F58" s="88">
        <f t="shared" si="5"/>
        <v>0.07339419688926489</v>
      </c>
      <c r="G58" s="88">
        <f t="shared" si="5"/>
        <v>0.00013132734135756655</v>
      </c>
      <c r="H58" s="88">
        <f t="shared" si="5"/>
        <v>0.005195132754250843</v>
      </c>
      <c r="I58" s="89">
        <f t="shared" si="5"/>
        <v>0.004754372941294965</v>
      </c>
      <c r="J58" s="316" t="e">
        <f t="shared" si="5"/>
        <v>#DIV/0!</v>
      </c>
      <c r="K58" s="317" t="e">
        <f t="shared" si="5"/>
        <v>#DIV/0!</v>
      </c>
      <c r="L58" s="317" t="e">
        <f t="shared" si="5"/>
        <v>#DIV/0!</v>
      </c>
      <c r="M58" s="317" t="e">
        <f t="shared" si="5"/>
        <v>#DIV/0!</v>
      </c>
      <c r="N58" s="317" t="e">
        <f t="shared" si="5"/>
        <v>#DIV/0!</v>
      </c>
      <c r="O58" s="317" t="e">
        <f t="shared" si="5"/>
        <v>#DIV/0!</v>
      </c>
    </row>
    <row r="59" spans="2:15" ht="12.75">
      <c r="B59" s="2" t="s">
        <v>72</v>
      </c>
      <c r="C59" s="88">
        <f t="shared" si="5"/>
        <v>0.02692571820991187</v>
      </c>
      <c r="D59" s="88">
        <f t="shared" si="5"/>
        <v>0.027330571356816574</v>
      </c>
      <c r="E59" s="88">
        <f t="shared" si="5"/>
        <v>0.0659747244402958</v>
      </c>
      <c r="F59" s="88">
        <f t="shared" si="5"/>
        <v>0.30002417188066527</v>
      </c>
      <c r="G59" s="88">
        <f t="shared" si="5"/>
        <v>3.183693123819795E-05</v>
      </c>
      <c r="H59" s="88">
        <f t="shared" si="5"/>
        <v>0.029359113167154702</v>
      </c>
      <c r="I59" s="89">
        <f t="shared" si="5"/>
        <v>0.0029171593880679973</v>
      </c>
      <c r="J59" s="316" t="e">
        <f t="shared" si="5"/>
        <v>#DIV/0!</v>
      </c>
      <c r="K59" s="317" t="e">
        <f t="shared" si="5"/>
        <v>#DIV/0!</v>
      </c>
      <c r="L59" s="317" t="e">
        <f t="shared" si="5"/>
        <v>#DIV/0!</v>
      </c>
      <c r="M59" s="317" t="e">
        <f t="shared" si="5"/>
        <v>#DIV/0!</v>
      </c>
      <c r="N59" s="317" t="e">
        <f t="shared" si="5"/>
        <v>#DIV/0!</v>
      </c>
      <c r="O59" s="317" t="e">
        <f t="shared" si="5"/>
        <v>#DIV/0!</v>
      </c>
    </row>
    <row r="60" spans="2:15" ht="12.75">
      <c r="B60" s="2" t="s">
        <v>73</v>
      </c>
      <c r="C60" s="88">
        <f t="shared" si="5"/>
        <v>0</v>
      </c>
      <c r="D60" s="88">
        <f t="shared" si="5"/>
        <v>0</v>
      </c>
      <c r="E60" s="88">
        <f t="shared" si="5"/>
        <v>0</v>
      </c>
      <c r="F60" s="88">
        <f t="shared" si="5"/>
        <v>0.02535258406701189</v>
      </c>
      <c r="G60" s="88">
        <f t="shared" si="5"/>
        <v>3.183693123819795E-05</v>
      </c>
      <c r="H60" s="88">
        <f t="shared" si="5"/>
        <v>0.02149720711631684</v>
      </c>
      <c r="I60" s="89">
        <f t="shared" si="5"/>
        <v>0.0034935035382681326</v>
      </c>
      <c r="J60" s="316" t="e">
        <f t="shared" si="5"/>
        <v>#DIV/0!</v>
      </c>
      <c r="K60" s="317" t="e">
        <f t="shared" si="5"/>
        <v>#DIV/0!</v>
      </c>
      <c r="L60" s="317" t="e">
        <f t="shared" si="5"/>
        <v>#DIV/0!</v>
      </c>
      <c r="M60" s="317" t="e">
        <f t="shared" si="5"/>
        <v>#DIV/0!</v>
      </c>
      <c r="N60" s="317" t="e">
        <f t="shared" si="5"/>
        <v>#DIV/0!</v>
      </c>
      <c r="O60" s="317" t="e">
        <f t="shared" si="5"/>
        <v>#DIV/0!</v>
      </c>
    </row>
    <row r="61" spans="2:15" ht="12.75">
      <c r="B61" s="2" t="s">
        <v>74</v>
      </c>
      <c r="C61" s="88">
        <f t="shared" si="5"/>
        <v>0</v>
      </c>
      <c r="D61" s="88">
        <f t="shared" si="5"/>
        <v>0</v>
      </c>
      <c r="E61" s="88">
        <f t="shared" si="5"/>
        <v>0</v>
      </c>
      <c r="F61" s="88">
        <f t="shared" si="5"/>
        <v>0.06919665684296644</v>
      </c>
      <c r="G61" s="88">
        <f t="shared" si="5"/>
        <v>0.00010943945113130546</v>
      </c>
      <c r="H61" s="88">
        <f t="shared" si="5"/>
        <v>0.018452102660006398</v>
      </c>
      <c r="I61" s="89">
        <f t="shared" si="5"/>
        <v>0.003497233921117324</v>
      </c>
      <c r="J61" s="316" t="e">
        <f t="shared" si="5"/>
        <v>#DIV/0!</v>
      </c>
      <c r="K61" s="317" t="e">
        <f t="shared" si="5"/>
        <v>#DIV/0!</v>
      </c>
      <c r="L61" s="317" t="e">
        <f t="shared" si="5"/>
        <v>#DIV/0!</v>
      </c>
      <c r="M61" s="317" t="e">
        <f t="shared" si="5"/>
        <v>#DIV/0!</v>
      </c>
      <c r="N61" s="317" t="e">
        <f t="shared" si="5"/>
        <v>#DIV/0!</v>
      </c>
      <c r="O61" s="317" t="e">
        <f t="shared" si="5"/>
        <v>#DIV/0!</v>
      </c>
    </row>
    <row r="62" spans="2:15" ht="12.75">
      <c r="B62" s="2" t="s">
        <v>75</v>
      </c>
      <c r="C62" s="88">
        <f t="shared" si="5"/>
        <v>0</v>
      </c>
      <c r="D62" s="88">
        <f t="shared" si="5"/>
        <v>0</v>
      </c>
      <c r="E62" s="88">
        <f t="shared" si="5"/>
        <v>0</v>
      </c>
      <c r="F62" s="88">
        <f t="shared" si="5"/>
        <v>0.4178760354396958</v>
      </c>
      <c r="G62" s="88">
        <f t="shared" si="5"/>
        <v>0.0004616355029538703</v>
      </c>
      <c r="H62" s="88">
        <f t="shared" si="5"/>
        <v>0.20195501857821305</v>
      </c>
      <c r="I62" s="89">
        <f t="shared" si="5"/>
        <v>0.00908907781205585</v>
      </c>
      <c r="J62" s="316" t="e">
        <f t="shared" si="5"/>
        <v>#DIV/0!</v>
      </c>
      <c r="K62" s="317" t="e">
        <f t="shared" si="5"/>
        <v>#DIV/0!</v>
      </c>
      <c r="L62" s="317" t="e">
        <f t="shared" si="5"/>
        <v>#DIV/0!</v>
      </c>
      <c r="M62" s="317" t="e">
        <f t="shared" si="5"/>
        <v>#DIV/0!</v>
      </c>
      <c r="N62" s="317" t="e">
        <f t="shared" si="5"/>
        <v>#DIV/0!</v>
      </c>
      <c r="O62" s="317" t="e">
        <f t="shared" si="5"/>
        <v>#DIV/0!</v>
      </c>
    </row>
    <row r="63" spans="2:15" ht="12.75">
      <c r="B63" s="2" t="s">
        <v>76</v>
      </c>
      <c r="C63" s="88">
        <f t="shared" si="5"/>
        <v>0</v>
      </c>
      <c r="D63" s="88">
        <f t="shared" si="5"/>
        <v>0</v>
      </c>
      <c r="E63" s="88">
        <f t="shared" si="5"/>
        <v>0</v>
      </c>
      <c r="F63" s="88">
        <f t="shared" si="5"/>
        <v>0</v>
      </c>
      <c r="G63" s="88">
        <f t="shared" si="5"/>
        <v>0.013888861252663856</v>
      </c>
      <c r="H63" s="88">
        <f t="shared" si="5"/>
        <v>0.13981643249095696</v>
      </c>
      <c r="I63" s="89">
        <f t="shared" si="5"/>
        <v>0.00851086847043112</v>
      </c>
      <c r="J63" s="316" t="e">
        <f t="shared" si="5"/>
        <v>#DIV/0!</v>
      </c>
      <c r="K63" s="317" t="e">
        <f t="shared" si="5"/>
        <v>#DIV/0!</v>
      </c>
      <c r="L63" s="317" t="e">
        <f t="shared" si="5"/>
        <v>#DIV/0!</v>
      </c>
      <c r="M63" s="317" t="e">
        <f t="shared" si="5"/>
        <v>#DIV/0!</v>
      </c>
      <c r="N63" s="317" t="e">
        <f t="shared" si="5"/>
        <v>#DIV/0!</v>
      </c>
      <c r="O63" s="317" t="e">
        <f t="shared" si="5"/>
        <v>#DIV/0!</v>
      </c>
    </row>
    <row r="64" spans="2:15" ht="12.75">
      <c r="B64" s="2" t="s">
        <v>77</v>
      </c>
      <c r="C64" s="88">
        <f t="shared" si="5"/>
        <v>0</v>
      </c>
      <c r="D64" s="88">
        <f t="shared" si="5"/>
        <v>0</v>
      </c>
      <c r="E64" s="88">
        <f t="shared" si="5"/>
        <v>0</v>
      </c>
      <c r="F64" s="88">
        <f t="shared" si="5"/>
        <v>0</v>
      </c>
      <c r="G64" s="88">
        <f t="shared" si="5"/>
        <v>2.9847123035810578E-05</v>
      </c>
      <c r="H64" s="88">
        <f t="shared" si="5"/>
        <v>0.21516277467457368</v>
      </c>
      <c r="I64" s="89">
        <f t="shared" si="5"/>
        <v>0.003122330444773547</v>
      </c>
      <c r="J64" s="316" t="e">
        <f t="shared" si="5"/>
        <v>#DIV/0!</v>
      </c>
      <c r="K64" s="317" t="e">
        <f t="shared" si="5"/>
        <v>#DIV/0!</v>
      </c>
      <c r="L64" s="317" t="e">
        <f t="shared" si="5"/>
        <v>#DIV/0!</v>
      </c>
      <c r="M64" s="317" t="e">
        <f t="shared" si="5"/>
        <v>#DIV/0!</v>
      </c>
      <c r="N64" s="317" t="e">
        <f t="shared" si="5"/>
        <v>#DIV/0!</v>
      </c>
      <c r="O64" s="317" t="e">
        <f t="shared" si="5"/>
        <v>#DIV/0!</v>
      </c>
    </row>
    <row r="65" spans="2:15" ht="12.75">
      <c r="B65" s="2" t="s">
        <v>78</v>
      </c>
      <c r="C65" s="88">
        <f t="shared" si="5"/>
        <v>0</v>
      </c>
      <c r="D65" s="88">
        <f t="shared" si="5"/>
        <v>0</v>
      </c>
      <c r="E65" s="88">
        <f t="shared" si="5"/>
        <v>0</v>
      </c>
      <c r="F65" s="88">
        <f t="shared" si="5"/>
        <v>0</v>
      </c>
      <c r="G65" s="88">
        <f t="shared" si="5"/>
        <v>0.00010545983472653072</v>
      </c>
      <c r="H65" s="88">
        <f t="shared" si="5"/>
        <v>0.2019488668520387</v>
      </c>
      <c r="I65" s="89">
        <f t="shared" si="5"/>
        <v>0.8521238934751874</v>
      </c>
      <c r="J65" s="316" t="e">
        <f t="shared" si="5"/>
        <v>#DIV/0!</v>
      </c>
      <c r="K65" s="317" t="e">
        <f t="shared" si="5"/>
        <v>#DIV/0!</v>
      </c>
      <c r="L65" s="317" t="e">
        <f t="shared" si="5"/>
        <v>#DIV/0!</v>
      </c>
      <c r="M65" s="317" t="e">
        <f t="shared" si="5"/>
        <v>#DIV/0!</v>
      </c>
      <c r="N65" s="317" t="e">
        <f t="shared" si="5"/>
        <v>#DIV/0!</v>
      </c>
      <c r="O65" s="317" t="e">
        <f t="shared" si="5"/>
        <v>#DIV/0!</v>
      </c>
    </row>
    <row r="66" spans="2:15" ht="12.75">
      <c r="B66" s="2" t="s">
        <v>59</v>
      </c>
      <c r="C66" s="88">
        <f>(C20+C21)/C$23</f>
        <v>0.8872569858892395</v>
      </c>
      <c r="D66" s="88">
        <f aca="true" t="shared" si="6" ref="D66:O66">(D20+D21)/D$23</f>
        <v>0.0003301726908547433</v>
      </c>
      <c r="E66" s="88">
        <f t="shared" si="6"/>
        <v>0.8035207316660299</v>
      </c>
      <c r="F66" s="88">
        <f t="shared" si="6"/>
        <v>0.030400788375184777</v>
      </c>
      <c r="G66" s="88">
        <f t="shared" si="6"/>
        <v>5.9694246071621156E-05</v>
      </c>
      <c r="H66" s="88">
        <f t="shared" si="6"/>
        <v>0.14753992470287164</v>
      </c>
      <c r="I66" s="74">
        <f t="shared" si="6"/>
        <v>0.0291604027321324</v>
      </c>
      <c r="J66" s="95" t="e">
        <f t="shared" si="6"/>
        <v>#DIV/0!</v>
      </c>
      <c r="K66" s="88" t="e">
        <f t="shared" si="6"/>
        <v>#DIV/0!</v>
      </c>
      <c r="L66" s="88" t="e">
        <f t="shared" si="6"/>
        <v>#DIV/0!</v>
      </c>
      <c r="M66" s="88" t="e">
        <f t="shared" si="6"/>
        <v>#DIV/0!</v>
      </c>
      <c r="N66" s="88" t="e">
        <f t="shared" si="6"/>
        <v>#DIV/0!</v>
      </c>
      <c r="O66" s="88" t="e">
        <f t="shared" si="6"/>
        <v>#DIV/0!</v>
      </c>
    </row>
    <row r="67" spans="2:15" ht="12.75">
      <c r="B67" s="114" t="s">
        <v>56</v>
      </c>
      <c r="C67" s="611">
        <f aca="true" t="shared" si="7" ref="C67:O67">SUM(C51:C66)</f>
        <v>1</v>
      </c>
      <c r="D67" s="611">
        <f t="shared" si="7"/>
        <v>1</v>
      </c>
      <c r="E67" s="611">
        <f t="shared" si="7"/>
        <v>1</v>
      </c>
      <c r="F67" s="611">
        <f t="shared" si="7"/>
        <v>0.9999999999999999</v>
      </c>
      <c r="G67" s="611">
        <f t="shared" si="7"/>
        <v>1</v>
      </c>
      <c r="H67" s="611">
        <f t="shared" si="7"/>
        <v>1</v>
      </c>
      <c r="I67" s="612">
        <f t="shared" si="7"/>
        <v>1</v>
      </c>
      <c r="J67" s="617" t="e">
        <f t="shared" si="7"/>
        <v>#DIV/0!</v>
      </c>
      <c r="K67" s="618" t="e">
        <f t="shared" si="7"/>
        <v>#DIV/0!</v>
      </c>
      <c r="L67" s="618" t="e">
        <f t="shared" si="7"/>
        <v>#DIV/0!</v>
      </c>
      <c r="M67" s="618" t="e">
        <f t="shared" si="7"/>
        <v>#DIV/0!</v>
      </c>
      <c r="N67" s="618" t="e">
        <f t="shared" si="7"/>
        <v>#DIV/0!</v>
      </c>
      <c r="O67" s="618" t="e">
        <f t="shared" si="7"/>
        <v>#DIV/0!</v>
      </c>
    </row>
    <row r="68" spans="2:15" ht="12.7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2:15" ht="12.75">
      <c r="B69" s="204" t="s">
        <v>276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2.75">
      <c r="B70" s="34" t="s">
        <v>138</v>
      </c>
      <c r="C70" s="551">
        <v>1</v>
      </c>
      <c r="D70" s="551">
        <f aca="true" t="shared" si="8" ref="D70:L70">SUMPRODUCT(C51:C66,D33:D48)/SUMPRODUCT(C33:C48,C51:C66)</f>
        <v>1.4233878434272533</v>
      </c>
      <c r="E70" s="551">
        <f t="shared" si="8"/>
        <v>1.3616175832234834</v>
      </c>
      <c r="F70" s="551">
        <f t="shared" si="8"/>
        <v>1.391185177027685</v>
      </c>
      <c r="G70" s="551">
        <f t="shared" si="8"/>
        <v>1.2944214706075776</v>
      </c>
      <c r="H70" s="551">
        <f t="shared" si="8"/>
        <v>1.1514583068138924</v>
      </c>
      <c r="I70" s="633">
        <f t="shared" si="8"/>
        <v>1.1571855923393481</v>
      </c>
      <c r="J70" s="553">
        <f t="shared" si="8"/>
        <v>0</v>
      </c>
      <c r="K70" s="551" t="e">
        <f t="shared" si="8"/>
        <v>#DIV/0!</v>
      </c>
      <c r="L70" s="551" t="e">
        <f t="shared" si="8"/>
        <v>#DIV/0!</v>
      </c>
      <c r="M70" s="551" t="e">
        <f>SUMPRODUCT(L51:L66,(M33:M48)/(L33:L48))</f>
        <v>#DIV/0!</v>
      </c>
      <c r="N70" s="551" t="e">
        <f>SUMPRODUCT(M51:M66,N33:N48)/SUMPRODUCT(M33:M48,M51:M66)</f>
        <v>#DIV/0!</v>
      </c>
      <c r="O70" s="551" t="e">
        <f>SUMPRODUCT(N51:N66,O33:O48)/SUMPRODUCT(N33:N48,N51:N66)</f>
        <v>#DIV/0!</v>
      </c>
    </row>
    <row r="71" spans="2:15" ht="12.75">
      <c r="B71" s="3" t="s">
        <v>139</v>
      </c>
      <c r="C71" s="554">
        <v>1</v>
      </c>
      <c r="D71" s="554">
        <f>SUMPRODUCT(D51:D66,D33:D48)/SUMPRODUCT(C33:C48,D51:D66)</f>
        <v>1.7144387202406357</v>
      </c>
      <c r="E71" s="554">
        <f aca="true" t="shared" si="9" ref="E71:O71">SUMPRODUCT(E51:E66,E33:E48)/SUMPRODUCT(D33:D48,E51:E66)</f>
        <v>1.4947287940743847</v>
      </c>
      <c r="F71" s="554">
        <f t="shared" si="9"/>
        <v>1.3740027417871217</v>
      </c>
      <c r="G71" s="554">
        <f t="shared" si="9"/>
        <v>1.1999343757455903</v>
      </c>
      <c r="H71" s="554">
        <f t="shared" si="9"/>
        <v>1.1603576472994148</v>
      </c>
      <c r="I71" s="634">
        <f t="shared" si="9"/>
        <v>1.175743654656606</v>
      </c>
      <c r="J71" s="556" t="e">
        <f t="shared" si="9"/>
        <v>#DIV/0!</v>
      </c>
      <c r="K71" s="554" t="e">
        <f t="shared" si="9"/>
        <v>#DIV/0!</v>
      </c>
      <c r="L71" s="554" t="e">
        <f t="shared" si="9"/>
        <v>#DIV/0!</v>
      </c>
      <c r="M71" s="554" t="e">
        <f t="shared" si="9"/>
        <v>#DIV/0!</v>
      </c>
      <c r="N71" s="554" t="e">
        <f t="shared" si="9"/>
        <v>#DIV/0!</v>
      </c>
      <c r="O71" s="554" t="e">
        <f t="shared" si="9"/>
        <v>#DIV/0!</v>
      </c>
    </row>
    <row r="72" spans="2:15" ht="12.75">
      <c r="B72" s="3" t="s">
        <v>140</v>
      </c>
      <c r="C72" s="554">
        <v>1</v>
      </c>
      <c r="D72" s="554">
        <f>(D70*D71)^0.5</f>
        <v>1.5621495551615723</v>
      </c>
      <c r="E72" s="554">
        <f aca="true" t="shared" si="10" ref="E72:O72">(E70*E71)^0.5</f>
        <v>1.4266215364146566</v>
      </c>
      <c r="F72" s="554">
        <f t="shared" si="10"/>
        <v>1.3825672669239792</v>
      </c>
      <c r="G72" s="554">
        <f t="shared" si="10"/>
        <v>1.2462828006857805</v>
      </c>
      <c r="H72" s="554">
        <f t="shared" si="10"/>
        <v>1.1558994125173419</v>
      </c>
      <c r="I72" s="634">
        <f t="shared" si="10"/>
        <v>1.1664277163429522</v>
      </c>
      <c r="J72" s="556" t="e">
        <f t="shared" si="10"/>
        <v>#DIV/0!</v>
      </c>
      <c r="K72" s="554" t="e">
        <f t="shared" si="10"/>
        <v>#DIV/0!</v>
      </c>
      <c r="L72" s="554" t="e">
        <f t="shared" si="10"/>
        <v>#DIV/0!</v>
      </c>
      <c r="M72" s="554" t="e">
        <f t="shared" si="10"/>
        <v>#DIV/0!</v>
      </c>
      <c r="N72" s="554" t="e">
        <f t="shared" si="10"/>
        <v>#DIV/0!</v>
      </c>
      <c r="O72" s="554" t="e">
        <f t="shared" si="10"/>
        <v>#DIV/0!</v>
      </c>
    </row>
    <row r="73" spans="2:15" ht="12.75">
      <c r="B73" s="3" t="s">
        <v>141</v>
      </c>
      <c r="C73" s="554">
        <v>1</v>
      </c>
      <c r="D73" s="554">
        <f>C73*D72</f>
        <v>1.5621495551615723</v>
      </c>
      <c r="E73" s="554">
        <f aca="true" t="shared" si="11" ref="E73:O73">D73*E72</f>
        <v>2.2285961984940745</v>
      </c>
      <c r="F73" s="554">
        <f t="shared" si="11"/>
        <v>3.0811841552291224</v>
      </c>
      <c r="G73" s="554">
        <f t="shared" si="11"/>
        <v>3.840026818407601</v>
      </c>
      <c r="H73" s="554">
        <f t="shared" si="11"/>
        <v>4.438684743448183</v>
      </c>
      <c r="I73" s="634">
        <f t="shared" si="11"/>
        <v>5.177404908866567</v>
      </c>
      <c r="J73" s="556" t="e">
        <f t="shared" si="11"/>
        <v>#DIV/0!</v>
      </c>
      <c r="K73" s="554" t="e">
        <f t="shared" si="11"/>
        <v>#DIV/0!</v>
      </c>
      <c r="L73" s="554" t="e">
        <f t="shared" si="11"/>
        <v>#DIV/0!</v>
      </c>
      <c r="M73" s="554" t="e">
        <f t="shared" si="11"/>
        <v>#DIV/0!</v>
      </c>
      <c r="N73" s="554" t="e">
        <f t="shared" si="11"/>
        <v>#DIV/0!</v>
      </c>
      <c r="O73" s="554" t="e">
        <f t="shared" si="11"/>
        <v>#DIV/0!</v>
      </c>
    </row>
    <row r="74" spans="2:15" ht="12.75">
      <c r="B74" s="4" t="s">
        <v>63</v>
      </c>
      <c r="C74" s="319">
        <f aca="true" t="shared" si="12" ref="C74:O74">C23/C73</f>
        <v>244636</v>
      </c>
      <c r="D74" s="319">
        <f t="shared" si="12"/>
        <v>364497.11112397775</v>
      </c>
      <c r="E74" s="319">
        <f t="shared" si="12"/>
        <v>371105.3624514199</v>
      </c>
      <c r="F74" s="319">
        <f t="shared" si="12"/>
        <v>69819.2607653478</v>
      </c>
      <c r="G74" s="319">
        <f t="shared" si="12"/>
        <v>130874.34639542547</v>
      </c>
      <c r="H74" s="319">
        <f t="shared" si="12"/>
        <v>73245.12074886341</v>
      </c>
      <c r="I74" s="635">
        <f t="shared" si="12"/>
        <v>103553.42288987995</v>
      </c>
      <c r="J74" s="318" t="e">
        <f t="shared" si="12"/>
        <v>#DIV/0!</v>
      </c>
      <c r="K74" s="319" t="e">
        <f t="shared" si="12"/>
        <v>#DIV/0!</v>
      </c>
      <c r="L74" s="319" t="e">
        <f t="shared" si="12"/>
        <v>#DIV/0!</v>
      </c>
      <c r="M74" s="319" t="e">
        <f t="shared" si="12"/>
        <v>#DIV/0!</v>
      </c>
      <c r="N74" s="319" t="e">
        <f t="shared" si="12"/>
        <v>#DIV/0!</v>
      </c>
      <c r="O74" s="319" t="e">
        <f t="shared" si="12"/>
        <v>#DIV/0!</v>
      </c>
    </row>
    <row r="75" spans="2:15" ht="12.75">
      <c r="B75" s="4" t="s">
        <v>64</v>
      </c>
      <c r="C75" s="557">
        <f>C74/$C$74</f>
        <v>1</v>
      </c>
      <c r="D75" s="557">
        <f>D74/$C$74</f>
        <v>1.489956961052248</v>
      </c>
      <c r="E75" s="557">
        <f aca="true" t="shared" si="13" ref="E75:O75">E74/$C$74</f>
        <v>1.5169695484369425</v>
      </c>
      <c r="F75" s="557">
        <f t="shared" si="13"/>
        <v>0.28540059829848347</v>
      </c>
      <c r="G75" s="557">
        <f t="shared" si="13"/>
        <v>0.5349758269241872</v>
      </c>
      <c r="H75" s="557">
        <f t="shared" si="13"/>
        <v>0.29940450607786023</v>
      </c>
      <c r="I75" s="636">
        <f t="shared" si="13"/>
        <v>0.4232959290124101</v>
      </c>
      <c r="J75" s="558" t="e">
        <f t="shared" si="13"/>
        <v>#DIV/0!</v>
      </c>
      <c r="K75" s="557" t="e">
        <f t="shared" si="13"/>
        <v>#DIV/0!</v>
      </c>
      <c r="L75" s="557" t="e">
        <f t="shared" si="13"/>
        <v>#DIV/0!</v>
      </c>
      <c r="M75" s="557" t="e">
        <f t="shared" si="13"/>
        <v>#DIV/0!</v>
      </c>
      <c r="N75" s="557" t="e">
        <f t="shared" si="13"/>
        <v>#DIV/0!</v>
      </c>
      <c r="O75" s="557" t="e">
        <f t="shared" si="13"/>
        <v>#DIV/0!</v>
      </c>
    </row>
    <row r="76" spans="2:15" ht="12.75">
      <c r="B76" s="234" t="s">
        <v>65</v>
      </c>
      <c r="C76" s="239"/>
      <c r="D76" s="236">
        <f>LN(D75/C75)</f>
        <v>0.39874723434034887</v>
      </c>
      <c r="E76" s="236">
        <f>LN(E75/D75)</f>
        <v>0.017967392282673276</v>
      </c>
      <c r="F76" s="236">
        <f aca="true" t="shared" si="14" ref="F76:O76">LN(F75/E75)</f>
        <v>-1.6705761042139426</v>
      </c>
      <c r="G76" s="236">
        <f t="shared" si="14"/>
        <v>0.6283277611647168</v>
      </c>
      <c r="H76" s="236">
        <f t="shared" si="14"/>
        <v>-0.5804260403234064</v>
      </c>
      <c r="I76" s="243">
        <f t="shared" si="14"/>
        <v>0.346276007984722</v>
      </c>
      <c r="J76" s="235" t="e">
        <f t="shared" si="14"/>
        <v>#DIV/0!</v>
      </c>
      <c r="K76" s="236" t="e">
        <f t="shared" si="14"/>
        <v>#DIV/0!</v>
      </c>
      <c r="L76" s="236" t="e">
        <f t="shared" si="14"/>
        <v>#DIV/0!</v>
      </c>
      <c r="M76" s="236" t="e">
        <f t="shared" si="14"/>
        <v>#DIV/0!</v>
      </c>
      <c r="N76" s="236" t="e">
        <f t="shared" si="14"/>
        <v>#DIV/0!</v>
      </c>
      <c r="O76" s="236" t="e">
        <f t="shared" si="14"/>
        <v>#DIV/0!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47" r:id="rId1"/>
  <rowBreaks count="1" manualBreakCount="1">
    <brk id="48" max="255" man="1"/>
  </rowBreaks>
  <ignoredErrors>
    <ignoredError sqref="C23:O23" formulaRange="1"/>
    <ignoredError sqref="J51:O67 K71:O75 J76:O76 J71:J75 K70:L70 N70:O70" evalError="1"/>
    <ignoredError sqref="M70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="85" zoomScaleNormal="85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4" sqref="H44"/>
    </sheetView>
  </sheetViews>
  <sheetFormatPr defaultColWidth="9.140625" defaultRowHeight="12.75"/>
  <cols>
    <col min="1" max="1" width="5.7109375" style="42" bestFit="1" customWidth="1"/>
    <col min="2" max="2" width="45.7109375" style="42" customWidth="1"/>
    <col min="3" max="9" width="9.7109375" style="42" customWidth="1"/>
    <col min="10" max="15" width="9.28125" style="42" customWidth="1"/>
    <col min="16" max="16384" width="11.421875" style="42" customWidth="1"/>
  </cols>
  <sheetData>
    <row r="1" spans="2:15" ht="27" customHeight="1">
      <c r="B1" s="268" t="s">
        <v>290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2.7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2.75">
      <c r="B3" s="117" t="s">
        <v>45</v>
      </c>
      <c r="C3" s="118">
        <v>1998</v>
      </c>
      <c r="D3" s="118">
        <v>1999</v>
      </c>
      <c r="E3" s="118">
        <v>2000</v>
      </c>
      <c r="F3" s="118">
        <v>2001</v>
      </c>
      <c r="G3" s="118">
        <v>2002</v>
      </c>
      <c r="H3" s="118">
        <v>2003</v>
      </c>
      <c r="I3" s="119">
        <v>2004</v>
      </c>
      <c r="J3" s="120">
        <v>2005</v>
      </c>
      <c r="K3" s="118">
        <v>2006</v>
      </c>
      <c r="L3" s="118">
        <v>2007</v>
      </c>
      <c r="M3" s="118">
        <v>2008</v>
      </c>
      <c r="N3" s="118">
        <v>2009</v>
      </c>
      <c r="O3" s="121">
        <v>2010</v>
      </c>
    </row>
    <row r="4" spans="2:15" ht="12.75">
      <c r="B4" s="34" t="s">
        <v>35</v>
      </c>
      <c r="C4" s="719">
        <v>246464</v>
      </c>
      <c r="D4" s="719">
        <v>54</v>
      </c>
      <c r="E4" s="719">
        <v>125</v>
      </c>
      <c r="F4" s="719">
        <v>87</v>
      </c>
      <c r="G4" s="719">
        <v>586</v>
      </c>
      <c r="H4" s="719">
        <v>55</v>
      </c>
      <c r="I4" s="720">
        <v>665</v>
      </c>
      <c r="J4" s="337"/>
      <c r="K4" s="335"/>
      <c r="L4" s="335"/>
      <c r="M4" s="335"/>
      <c r="N4" s="335"/>
      <c r="O4" s="335"/>
    </row>
    <row r="5" spans="2:15" ht="12.75">
      <c r="B5" s="3" t="s">
        <v>36</v>
      </c>
      <c r="C5" s="711">
        <v>464</v>
      </c>
      <c r="D5" s="711">
        <v>54</v>
      </c>
      <c r="E5" s="711">
        <v>54</v>
      </c>
      <c r="F5" s="711">
        <v>44</v>
      </c>
      <c r="G5" s="711">
        <v>554</v>
      </c>
      <c r="H5" s="711">
        <v>55</v>
      </c>
      <c r="I5" s="712">
        <v>114</v>
      </c>
      <c r="J5" s="340"/>
      <c r="K5" s="338"/>
      <c r="L5" s="338"/>
      <c r="M5" s="338"/>
      <c r="N5" s="338"/>
      <c r="O5" s="338"/>
    </row>
    <row r="6" spans="2:15" ht="12.75">
      <c r="B6" s="3" t="s">
        <v>37</v>
      </c>
      <c r="C6" s="711">
        <v>455</v>
      </c>
      <c r="D6" s="711">
        <v>54</v>
      </c>
      <c r="E6" s="711">
        <v>564</v>
      </c>
      <c r="F6" s="711">
        <v>487</v>
      </c>
      <c r="G6" s="711">
        <v>55</v>
      </c>
      <c r="H6" s="711">
        <v>8585</v>
      </c>
      <c r="I6" s="712">
        <v>256</v>
      </c>
      <c r="J6" s="340"/>
      <c r="K6" s="338"/>
      <c r="L6" s="338"/>
      <c r="M6" s="338"/>
      <c r="N6" s="338"/>
      <c r="O6" s="338"/>
    </row>
    <row r="7" spans="2:15" ht="12.75">
      <c r="B7" s="3" t="s">
        <v>38</v>
      </c>
      <c r="C7" s="711">
        <v>41685</v>
      </c>
      <c r="D7" s="711">
        <v>857</v>
      </c>
      <c r="E7" s="711">
        <v>15</v>
      </c>
      <c r="F7" s="711">
        <v>69</v>
      </c>
      <c r="G7" s="711">
        <v>548</v>
      </c>
      <c r="H7" s="711">
        <v>64</v>
      </c>
      <c r="I7" s="712">
        <v>56</v>
      </c>
      <c r="J7" s="340"/>
      <c r="K7" s="338"/>
      <c r="L7" s="338"/>
      <c r="M7" s="338"/>
      <c r="N7" s="338"/>
      <c r="O7" s="338"/>
    </row>
    <row r="8" spans="2:15" ht="12.75">
      <c r="B8" s="3" t="s">
        <v>39</v>
      </c>
      <c r="C8" s="711">
        <v>46</v>
      </c>
      <c r="D8" s="711">
        <v>88</v>
      </c>
      <c r="E8" s="711">
        <v>66</v>
      </c>
      <c r="F8" s="711">
        <v>57</v>
      </c>
      <c r="G8" s="711">
        <v>99</v>
      </c>
      <c r="H8" s="711">
        <v>5454</v>
      </c>
      <c r="I8" s="712">
        <v>65</v>
      </c>
      <c r="J8" s="340"/>
      <c r="K8" s="338"/>
      <c r="L8" s="338"/>
      <c r="M8" s="338"/>
      <c r="N8" s="338"/>
      <c r="O8" s="338"/>
    </row>
    <row r="9" spans="2:15" ht="12.75">
      <c r="B9" s="82" t="s">
        <v>34</v>
      </c>
      <c r="C9" s="717">
        <f>SUM(C4:C8)</f>
        <v>289114</v>
      </c>
      <c r="D9" s="717">
        <f>SUM(D4:D8)</f>
        <v>1107</v>
      </c>
      <c r="E9" s="717">
        <f>SUM(E4:E8)</f>
        <v>824</v>
      </c>
      <c r="F9" s="717">
        <f>SUM(F4:F8)</f>
        <v>744</v>
      </c>
      <c r="G9" s="717">
        <f>SUM(G4:G8)</f>
        <v>1842</v>
      </c>
      <c r="H9" s="717">
        <f>SUM(H4:H8)</f>
        <v>14213</v>
      </c>
      <c r="I9" s="718">
        <f>SUM(I4:I8)</f>
        <v>1156</v>
      </c>
      <c r="J9" s="342"/>
      <c r="K9" s="343"/>
      <c r="L9" s="343"/>
      <c r="M9" s="343"/>
      <c r="N9" s="343"/>
      <c r="O9" s="343"/>
    </row>
    <row r="10" spans="2:15" ht="12.75">
      <c r="B10" s="205" t="s">
        <v>142</v>
      </c>
      <c r="C10" s="721"/>
      <c r="D10" s="721"/>
      <c r="E10" s="721"/>
      <c r="F10" s="721"/>
      <c r="G10" s="721"/>
      <c r="H10" s="721"/>
      <c r="I10" s="722"/>
      <c r="J10" s="345"/>
      <c r="K10" s="344"/>
      <c r="L10" s="344"/>
      <c r="M10" s="344"/>
      <c r="N10" s="344"/>
      <c r="O10" s="344"/>
    </row>
    <row r="11" spans="2:15" ht="12.75">
      <c r="B11" s="3" t="s">
        <v>47</v>
      </c>
      <c r="C11" s="711"/>
      <c r="D11" s="711">
        <v>1548</v>
      </c>
      <c r="E11" s="711">
        <v>5545</v>
      </c>
      <c r="F11" s="711">
        <v>2542</v>
      </c>
      <c r="G11" s="711">
        <v>54465</v>
      </c>
      <c r="H11" s="711">
        <v>545</v>
      </c>
      <c r="I11" s="712">
        <v>2555</v>
      </c>
      <c r="J11" s="340"/>
      <c r="K11" s="338"/>
      <c r="L11" s="338"/>
      <c r="M11" s="338"/>
      <c r="N11" s="338"/>
      <c r="O11" s="338"/>
    </row>
    <row r="12" spans="2:15" ht="12.75">
      <c r="B12" s="4" t="s">
        <v>55</v>
      </c>
      <c r="C12" s="711"/>
      <c r="D12" s="711">
        <v>9876</v>
      </c>
      <c r="E12" s="711">
        <v>5574</v>
      </c>
      <c r="F12" s="711">
        <v>4568</v>
      </c>
      <c r="G12" s="711">
        <v>15466</v>
      </c>
      <c r="H12" s="711">
        <v>2555</v>
      </c>
      <c r="I12" s="712">
        <v>22</v>
      </c>
      <c r="J12" s="346"/>
      <c r="K12" s="347"/>
      <c r="L12" s="347"/>
      <c r="M12" s="347"/>
      <c r="N12" s="347"/>
      <c r="O12" s="347"/>
    </row>
    <row r="13" spans="2:15" ht="12.75">
      <c r="B13" s="82" t="s">
        <v>34</v>
      </c>
      <c r="C13" s="717">
        <f>SUM(C11:C12)</f>
        <v>0</v>
      </c>
      <c r="D13" s="717">
        <f aca="true" t="shared" si="0" ref="D13:I13">SUM(D11:D12)</f>
        <v>11424</v>
      </c>
      <c r="E13" s="717">
        <f t="shared" si="0"/>
        <v>11119</v>
      </c>
      <c r="F13" s="717">
        <f t="shared" si="0"/>
        <v>7110</v>
      </c>
      <c r="G13" s="717">
        <f t="shared" si="0"/>
        <v>69931</v>
      </c>
      <c r="H13" s="717">
        <f t="shared" si="0"/>
        <v>3100</v>
      </c>
      <c r="I13" s="718">
        <f t="shared" si="0"/>
        <v>2577</v>
      </c>
      <c r="J13" s="348">
        <f aca="true" t="shared" si="1" ref="J13:O13">SUM(J4:J12)</f>
        <v>0</v>
      </c>
      <c r="K13" s="341">
        <f t="shared" si="1"/>
        <v>0</v>
      </c>
      <c r="L13" s="341">
        <f t="shared" si="1"/>
        <v>0</v>
      </c>
      <c r="M13" s="341">
        <f t="shared" si="1"/>
        <v>0</v>
      </c>
      <c r="N13" s="341">
        <f t="shared" si="1"/>
        <v>0</v>
      </c>
      <c r="O13" s="341">
        <f t="shared" si="1"/>
        <v>0</v>
      </c>
    </row>
    <row r="14" spans="2:15" ht="12.75">
      <c r="B14" s="6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2:15" ht="12.75">
      <c r="B15" s="117" t="s">
        <v>46</v>
      </c>
      <c r="C15" s="350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</row>
    <row r="16" spans="2:15" ht="12.75">
      <c r="B16" s="112" t="s">
        <v>150</v>
      </c>
      <c r="C16" s="723">
        <v>12</v>
      </c>
      <c r="D16" s="724">
        <v>22</v>
      </c>
      <c r="E16" s="725">
        <v>54</v>
      </c>
      <c r="F16" s="724">
        <v>6</v>
      </c>
      <c r="G16" s="725">
        <v>45</v>
      </c>
      <c r="H16" s="724">
        <v>85</v>
      </c>
      <c r="I16" s="726">
        <v>62</v>
      </c>
      <c r="J16" s="354"/>
      <c r="K16" s="353"/>
      <c r="L16" s="352"/>
      <c r="M16" s="353"/>
      <c r="N16" s="352"/>
      <c r="O16" s="354"/>
    </row>
    <row r="17" spans="2:15" ht="12.75">
      <c r="B17" s="113" t="s">
        <v>151</v>
      </c>
      <c r="C17" s="727">
        <v>12</v>
      </c>
      <c r="D17" s="728">
        <v>12</v>
      </c>
      <c r="E17" s="729">
        <v>344</v>
      </c>
      <c r="F17" s="728">
        <v>4</v>
      </c>
      <c r="G17" s="729">
        <v>66</v>
      </c>
      <c r="H17" s="728">
        <v>587</v>
      </c>
      <c r="I17" s="730">
        <v>6</v>
      </c>
      <c r="J17" s="357"/>
      <c r="K17" s="356"/>
      <c r="L17" s="355"/>
      <c r="M17" s="356"/>
      <c r="N17" s="355"/>
      <c r="O17" s="357"/>
    </row>
    <row r="18" spans="2:15" ht="12.75">
      <c r="B18" s="114" t="s">
        <v>152</v>
      </c>
      <c r="C18" s="731">
        <v>15</v>
      </c>
      <c r="D18" s="732">
        <v>11</v>
      </c>
      <c r="E18" s="733">
        <v>214</v>
      </c>
      <c r="F18" s="732">
        <v>48</v>
      </c>
      <c r="G18" s="733">
        <v>22</v>
      </c>
      <c r="H18" s="732">
        <v>256</v>
      </c>
      <c r="I18" s="734">
        <v>11</v>
      </c>
      <c r="J18" s="360"/>
      <c r="K18" s="359"/>
      <c r="L18" s="358"/>
      <c r="M18" s="359"/>
      <c r="N18" s="358"/>
      <c r="O18" s="360"/>
    </row>
    <row r="19" spans="2:15" ht="12.75">
      <c r="B19" s="96" t="s">
        <v>41</v>
      </c>
      <c r="C19" s="735">
        <f>SUM(C16:C18)</f>
        <v>39</v>
      </c>
      <c r="D19" s="736">
        <f aca="true" t="shared" si="2" ref="D19:O19">SUM(D16:D18)</f>
        <v>45</v>
      </c>
      <c r="E19" s="737">
        <f>SUM(E16:E18)</f>
        <v>612</v>
      </c>
      <c r="F19" s="736">
        <f>SUM(F16:F18)</f>
        <v>58</v>
      </c>
      <c r="G19" s="737">
        <f t="shared" si="2"/>
        <v>133</v>
      </c>
      <c r="H19" s="736">
        <f t="shared" si="2"/>
        <v>928</v>
      </c>
      <c r="I19" s="738">
        <f t="shared" si="2"/>
        <v>79</v>
      </c>
      <c r="J19" s="363">
        <f t="shared" si="2"/>
        <v>0</v>
      </c>
      <c r="K19" s="362">
        <f t="shared" si="2"/>
        <v>0</v>
      </c>
      <c r="L19" s="361">
        <f t="shared" si="2"/>
        <v>0</v>
      </c>
      <c r="M19" s="362">
        <f t="shared" si="2"/>
        <v>0</v>
      </c>
      <c r="N19" s="361">
        <f t="shared" si="2"/>
        <v>0</v>
      </c>
      <c r="O19" s="363">
        <f t="shared" si="2"/>
        <v>0</v>
      </c>
    </row>
    <row r="20" spans="2:15" ht="12.75">
      <c r="B20" s="97" t="s">
        <v>154</v>
      </c>
      <c r="C20" s="739">
        <v>54</v>
      </c>
      <c r="D20" s="739">
        <v>99</v>
      </c>
      <c r="E20" s="740">
        <v>64</v>
      </c>
      <c r="F20" s="739">
        <v>254</v>
      </c>
      <c r="G20" s="740">
        <v>84</v>
      </c>
      <c r="H20" s="739">
        <v>64</v>
      </c>
      <c r="I20" s="741">
        <v>654</v>
      </c>
      <c r="J20" s="363"/>
      <c r="K20" s="362"/>
      <c r="L20" s="361"/>
      <c r="M20" s="362"/>
      <c r="N20" s="361"/>
      <c r="O20" s="363"/>
    </row>
    <row r="21" spans="2:15" ht="12.75">
      <c r="B21" s="113" t="s">
        <v>153</v>
      </c>
      <c r="C21" s="728">
        <v>66</v>
      </c>
      <c r="D21" s="728">
        <v>54</v>
      </c>
      <c r="E21" s="729">
        <v>55</v>
      </c>
      <c r="F21" s="728">
        <v>110</v>
      </c>
      <c r="G21" s="729">
        <v>11</v>
      </c>
      <c r="H21" s="728">
        <v>14</v>
      </c>
      <c r="I21" s="730">
        <v>14</v>
      </c>
      <c r="J21" s="357"/>
      <c r="K21" s="356"/>
      <c r="L21" s="355"/>
      <c r="M21" s="356"/>
      <c r="N21" s="355"/>
      <c r="O21" s="357"/>
    </row>
    <row r="22" spans="2:15" ht="12.75">
      <c r="B22" s="98" t="s">
        <v>77</v>
      </c>
      <c r="C22" s="742"/>
      <c r="D22" s="742"/>
      <c r="E22" s="743"/>
      <c r="F22" s="742"/>
      <c r="G22" s="743">
        <v>25</v>
      </c>
      <c r="H22" s="742">
        <v>22</v>
      </c>
      <c r="I22" s="744">
        <v>44</v>
      </c>
      <c r="J22" s="366"/>
      <c r="K22" s="365"/>
      <c r="L22" s="364"/>
      <c r="M22" s="365"/>
      <c r="N22" s="364"/>
      <c r="O22" s="366"/>
    </row>
    <row r="23" spans="2:15" ht="12.75">
      <c r="B23" s="100" t="s">
        <v>40</v>
      </c>
      <c r="C23" s="745">
        <f>SUM(C20:C22)</f>
        <v>120</v>
      </c>
      <c r="D23" s="745">
        <f aca="true" t="shared" si="3" ref="D23:O23">SUM(D20:D22)</f>
        <v>153</v>
      </c>
      <c r="E23" s="746">
        <f t="shared" si="3"/>
        <v>119</v>
      </c>
      <c r="F23" s="745">
        <f t="shared" si="3"/>
        <v>364</v>
      </c>
      <c r="G23" s="747">
        <f t="shared" si="3"/>
        <v>120</v>
      </c>
      <c r="H23" s="745">
        <f t="shared" si="3"/>
        <v>100</v>
      </c>
      <c r="I23" s="748">
        <f t="shared" si="3"/>
        <v>712</v>
      </c>
      <c r="J23" s="368">
        <f t="shared" si="3"/>
        <v>0</v>
      </c>
      <c r="K23" s="368">
        <f t="shared" si="3"/>
        <v>0</v>
      </c>
      <c r="L23" s="367">
        <f t="shared" si="3"/>
        <v>0</v>
      </c>
      <c r="M23" s="367">
        <f t="shared" si="3"/>
        <v>0</v>
      </c>
      <c r="N23" s="367">
        <f t="shared" si="3"/>
        <v>0</v>
      </c>
      <c r="O23" s="367">
        <f t="shared" si="3"/>
        <v>0</v>
      </c>
    </row>
    <row r="24" spans="2:15" ht="12.75">
      <c r="B24" s="20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2:15" ht="12.75">
      <c r="B25" s="117" t="s">
        <v>48</v>
      </c>
      <c r="C25" s="350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</row>
    <row r="26" spans="2:15" ht="12.75">
      <c r="B26" s="3" t="s">
        <v>35</v>
      </c>
      <c r="C26" s="749">
        <v>123232</v>
      </c>
      <c r="D26" s="749">
        <v>27</v>
      </c>
      <c r="E26" s="749">
        <v>62.5</v>
      </c>
      <c r="F26" s="749">
        <v>43.5</v>
      </c>
      <c r="G26" s="749">
        <v>293</v>
      </c>
      <c r="H26" s="749">
        <v>27.5</v>
      </c>
      <c r="I26" s="749">
        <v>332.5</v>
      </c>
      <c r="J26" s="371"/>
      <c r="K26" s="370"/>
      <c r="L26" s="370"/>
      <c r="M26" s="370"/>
      <c r="N26" s="370"/>
      <c r="O26" s="370"/>
    </row>
    <row r="27" spans="2:15" ht="12.75">
      <c r="B27" s="3" t="s">
        <v>36</v>
      </c>
      <c r="C27" s="749">
        <v>232</v>
      </c>
      <c r="D27" s="749">
        <v>27</v>
      </c>
      <c r="E27" s="749">
        <v>27</v>
      </c>
      <c r="F27" s="749">
        <v>22</v>
      </c>
      <c r="G27" s="749">
        <v>277</v>
      </c>
      <c r="H27" s="749">
        <v>27.5</v>
      </c>
      <c r="I27" s="749">
        <v>57</v>
      </c>
      <c r="J27" s="371"/>
      <c r="K27" s="370"/>
      <c r="L27" s="370"/>
      <c r="M27" s="370"/>
      <c r="N27" s="370"/>
      <c r="O27" s="370"/>
    </row>
    <row r="28" spans="2:15" ht="12.75">
      <c r="B28" s="3" t="s">
        <v>37</v>
      </c>
      <c r="C28" s="749">
        <v>227.5</v>
      </c>
      <c r="D28" s="749">
        <v>27</v>
      </c>
      <c r="E28" s="749">
        <v>282</v>
      </c>
      <c r="F28" s="749">
        <v>243.5</v>
      </c>
      <c r="G28" s="749">
        <v>27.5</v>
      </c>
      <c r="H28" s="749">
        <v>4292.5</v>
      </c>
      <c r="I28" s="749">
        <v>128</v>
      </c>
      <c r="J28" s="371"/>
      <c r="K28" s="370"/>
      <c r="L28" s="370"/>
      <c r="M28" s="370"/>
      <c r="N28" s="370"/>
      <c r="O28" s="370"/>
    </row>
    <row r="29" spans="2:15" ht="12.75">
      <c r="B29" s="3" t="s">
        <v>38</v>
      </c>
      <c r="C29" s="749">
        <v>20842.5</v>
      </c>
      <c r="D29" s="749">
        <v>428.5</v>
      </c>
      <c r="E29" s="749">
        <v>7.5</v>
      </c>
      <c r="F29" s="749">
        <v>34.5</v>
      </c>
      <c r="G29" s="749">
        <v>274</v>
      </c>
      <c r="H29" s="749">
        <v>32</v>
      </c>
      <c r="I29" s="749">
        <v>28</v>
      </c>
      <c r="J29" s="371"/>
      <c r="K29" s="370"/>
      <c r="L29" s="370"/>
      <c r="M29" s="370"/>
      <c r="N29" s="370"/>
      <c r="O29" s="370"/>
    </row>
    <row r="30" spans="2:15" ht="12.75">
      <c r="B30" s="4" t="s">
        <v>39</v>
      </c>
      <c r="C30" s="721">
        <v>0</v>
      </c>
      <c r="D30" s="721">
        <v>0</v>
      </c>
      <c r="E30" s="721">
        <v>0</v>
      </c>
      <c r="F30" s="721">
        <v>0</v>
      </c>
      <c r="G30" s="721">
        <v>0</v>
      </c>
      <c r="H30" s="721">
        <v>0</v>
      </c>
      <c r="I30" s="722">
        <v>14</v>
      </c>
      <c r="J30" s="345"/>
      <c r="K30" s="344"/>
      <c r="L30" s="344"/>
      <c r="M30" s="344"/>
      <c r="N30" s="344"/>
      <c r="O30" s="344"/>
    </row>
    <row r="31" spans="2:15" ht="12.75">
      <c r="B31" s="79" t="s">
        <v>49</v>
      </c>
      <c r="C31" s="719"/>
      <c r="D31" s="719"/>
      <c r="E31" s="719"/>
      <c r="F31" s="719"/>
      <c r="G31" s="719"/>
      <c r="H31" s="719"/>
      <c r="I31" s="720"/>
      <c r="J31" s="337"/>
      <c r="K31" s="335"/>
      <c r="L31" s="335"/>
      <c r="M31" s="335"/>
      <c r="N31" s="335"/>
      <c r="O31" s="335"/>
    </row>
    <row r="32" spans="2:15" ht="12.75">
      <c r="B32" s="4" t="s">
        <v>47</v>
      </c>
      <c r="C32" s="711">
        <v>0</v>
      </c>
      <c r="D32" s="711">
        <v>0</v>
      </c>
      <c r="E32" s="711">
        <v>1258</v>
      </c>
      <c r="F32" s="711">
        <v>6564</v>
      </c>
      <c r="G32" s="711">
        <v>14</v>
      </c>
      <c r="H32" s="711">
        <v>12</v>
      </c>
      <c r="I32" s="712">
        <v>21</v>
      </c>
      <c r="J32" s="340"/>
      <c r="K32" s="338"/>
      <c r="L32" s="338"/>
      <c r="M32" s="338"/>
      <c r="N32" s="338"/>
      <c r="O32" s="338"/>
    </row>
    <row r="33" spans="2:15" ht="12.75">
      <c r="B33" s="47" t="s">
        <v>55</v>
      </c>
      <c r="C33" s="751">
        <v>0</v>
      </c>
      <c r="D33" s="751">
        <v>1258</v>
      </c>
      <c r="E33" s="751">
        <v>85434</v>
      </c>
      <c r="F33" s="751">
        <v>46455</v>
      </c>
      <c r="G33" s="751">
        <v>5453</v>
      </c>
      <c r="H33" s="751">
        <v>64646</v>
      </c>
      <c r="I33" s="752">
        <v>54646</v>
      </c>
      <c r="J33" s="342"/>
      <c r="K33" s="343"/>
      <c r="L33" s="343"/>
      <c r="M33" s="343"/>
      <c r="N33" s="343"/>
      <c r="O33" s="343"/>
    </row>
    <row r="34" spans="2:15" ht="12.75">
      <c r="B34" s="79" t="s">
        <v>106</v>
      </c>
      <c r="C34" s="719"/>
      <c r="D34" s="719"/>
      <c r="E34" s="719"/>
      <c r="F34" s="719"/>
      <c r="G34" s="719"/>
      <c r="H34" s="719"/>
      <c r="I34" s="720"/>
      <c r="J34" s="337"/>
      <c r="K34" s="335"/>
      <c r="L34" s="335"/>
      <c r="M34" s="335"/>
      <c r="N34" s="335"/>
      <c r="O34" s="335"/>
    </row>
    <row r="35" spans="2:15" ht="12.75">
      <c r="B35" s="3" t="s">
        <v>35</v>
      </c>
      <c r="C35" s="749">
        <v>43543</v>
      </c>
      <c r="D35" s="749">
        <v>9</v>
      </c>
      <c r="E35" s="749">
        <v>45</v>
      </c>
      <c r="F35" s="749">
        <v>14.5</v>
      </c>
      <c r="G35" s="749">
        <v>454</v>
      </c>
      <c r="H35" s="749">
        <v>76</v>
      </c>
      <c r="I35" s="749">
        <v>7676</v>
      </c>
      <c r="J35" s="371"/>
      <c r="K35" s="370"/>
      <c r="L35" s="370"/>
      <c r="M35" s="370"/>
      <c r="N35" s="370"/>
      <c r="O35" s="370"/>
    </row>
    <row r="36" spans="2:15" ht="12.75">
      <c r="B36" s="3" t="s">
        <v>36</v>
      </c>
      <c r="C36" s="749">
        <v>453</v>
      </c>
      <c r="D36" s="749">
        <v>9</v>
      </c>
      <c r="E36" s="749">
        <v>9</v>
      </c>
      <c r="F36" s="749">
        <v>34</v>
      </c>
      <c r="G36" s="749">
        <v>545</v>
      </c>
      <c r="H36" s="749">
        <v>676</v>
      </c>
      <c r="I36" s="749">
        <v>19</v>
      </c>
      <c r="J36" s="371"/>
      <c r="K36" s="370"/>
      <c r="L36" s="370"/>
      <c r="M36" s="370"/>
      <c r="N36" s="370"/>
      <c r="O36" s="370"/>
    </row>
    <row r="37" spans="2:15" ht="12.75">
      <c r="B37" s="3" t="s">
        <v>37</v>
      </c>
      <c r="C37" s="749">
        <v>43</v>
      </c>
      <c r="D37" s="749">
        <v>9</v>
      </c>
      <c r="E37" s="749">
        <v>94</v>
      </c>
      <c r="F37" s="749">
        <v>454</v>
      </c>
      <c r="G37" s="749">
        <v>65</v>
      </c>
      <c r="H37" s="749">
        <v>676</v>
      </c>
      <c r="I37" s="749">
        <v>676</v>
      </c>
      <c r="J37" s="371"/>
      <c r="K37" s="370"/>
      <c r="L37" s="370"/>
      <c r="M37" s="370"/>
      <c r="N37" s="370"/>
      <c r="O37" s="370"/>
    </row>
    <row r="38" spans="2:15" ht="12.75">
      <c r="B38" s="3" t="s">
        <v>38</v>
      </c>
      <c r="C38" s="749">
        <v>6947.5</v>
      </c>
      <c r="D38" s="749">
        <v>1234</v>
      </c>
      <c r="E38" s="749">
        <v>2.5</v>
      </c>
      <c r="F38" s="749">
        <v>11.5</v>
      </c>
      <c r="G38" s="749">
        <v>45</v>
      </c>
      <c r="H38" s="749">
        <v>66</v>
      </c>
      <c r="I38" s="749">
        <v>345</v>
      </c>
      <c r="J38" s="371"/>
      <c r="K38" s="370"/>
      <c r="L38" s="370"/>
      <c r="M38" s="370"/>
      <c r="N38" s="370"/>
      <c r="O38" s="370"/>
    </row>
    <row r="39" spans="2:15" ht="12.75">
      <c r="B39" s="4" t="s">
        <v>39</v>
      </c>
      <c r="C39" s="721">
        <v>0</v>
      </c>
      <c r="D39" s="721">
        <v>0</v>
      </c>
      <c r="E39" s="721">
        <v>0</v>
      </c>
      <c r="F39" s="721">
        <v>0</v>
      </c>
      <c r="G39" s="721">
        <v>0</v>
      </c>
      <c r="H39" s="721">
        <v>0</v>
      </c>
      <c r="I39" s="722">
        <v>0</v>
      </c>
      <c r="J39" s="345"/>
      <c r="K39" s="344"/>
      <c r="L39" s="344"/>
      <c r="M39" s="344"/>
      <c r="N39" s="344"/>
      <c r="O39" s="344"/>
    </row>
    <row r="40" spans="2:15" ht="12.75">
      <c r="B40" s="79" t="s">
        <v>145</v>
      </c>
      <c r="C40" s="719"/>
      <c r="D40" s="719"/>
      <c r="E40" s="719"/>
      <c r="F40" s="719"/>
      <c r="G40" s="719"/>
      <c r="H40" s="719"/>
      <c r="I40" s="720"/>
      <c r="J40" s="337"/>
      <c r="K40" s="335"/>
      <c r="L40" s="335"/>
      <c r="M40" s="335"/>
      <c r="N40" s="335"/>
      <c r="O40" s="335"/>
    </row>
    <row r="41" spans="2:15" ht="12.75">
      <c r="B41" s="4" t="s">
        <v>47</v>
      </c>
      <c r="C41" s="711">
        <v>0</v>
      </c>
      <c r="D41" s="711">
        <v>254</v>
      </c>
      <c r="E41" s="711">
        <v>545</v>
      </c>
      <c r="F41" s="711">
        <v>6569</v>
      </c>
      <c r="G41" s="711">
        <v>215</v>
      </c>
      <c r="H41" s="711">
        <v>56456</v>
      </c>
      <c r="I41" s="712">
        <v>54564</v>
      </c>
      <c r="J41" s="340"/>
      <c r="K41" s="338"/>
      <c r="L41" s="338"/>
      <c r="M41" s="338"/>
      <c r="N41" s="338"/>
      <c r="O41" s="338"/>
    </row>
    <row r="42" spans="2:15" ht="12.75">
      <c r="B42" s="47" t="s">
        <v>55</v>
      </c>
      <c r="C42" s="751">
        <v>0</v>
      </c>
      <c r="D42" s="751">
        <v>54564</v>
      </c>
      <c r="E42" s="751">
        <v>4545</v>
      </c>
      <c r="F42" s="751">
        <v>45645</v>
      </c>
      <c r="G42" s="751">
        <v>5486</v>
      </c>
      <c r="H42" s="751">
        <v>587</v>
      </c>
      <c r="I42" s="752">
        <v>5454</v>
      </c>
      <c r="J42" s="342"/>
      <c r="K42" s="343"/>
      <c r="L42" s="343"/>
      <c r="M42" s="343"/>
      <c r="N42" s="343"/>
      <c r="O42" s="343"/>
    </row>
    <row r="43" spans="2:15" ht="12.75">
      <c r="B43" s="206" t="s">
        <v>107</v>
      </c>
      <c r="C43" s="719"/>
      <c r="D43" s="719"/>
      <c r="E43" s="719"/>
      <c r="F43" s="719"/>
      <c r="G43" s="719"/>
      <c r="H43" s="719"/>
      <c r="I43" s="720"/>
      <c r="J43" s="337"/>
      <c r="K43" s="335"/>
      <c r="L43" s="335"/>
      <c r="M43" s="335"/>
      <c r="N43" s="335"/>
      <c r="O43" s="335"/>
    </row>
    <row r="44" spans="2:15" ht="12.75">
      <c r="B44" s="3" t="s">
        <v>35</v>
      </c>
      <c r="C44" s="749">
        <v>14</v>
      </c>
      <c r="D44" s="749">
        <v>58</v>
      </c>
      <c r="E44" s="749">
        <v>121</v>
      </c>
      <c r="F44" s="749">
        <v>154</v>
      </c>
      <c r="G44" s="749">
        <v>198</v>
      </c>
      <c r="H44" s="749">
        <v>687</v>
      </c>
      <c r="I44" s="750">
        <v>187</v>
      </c>
      <c r="J44" s="371"/>
      <c r="K44" s="370"/>
      <c r="L44" s="370"/>
      <c r="M44" s="370"/>
      <c r="N44" s="370"/>
      <c r="O44" s="370"/>
    </row>
    <row r="45" spans="2:15" ht="12.75">
      <c r="B45" s="3" t="s">
        <v>36</v>
      </c>
      <c r="C45" s="749">
        <v>12</v>
      </c>
      <c r="D45" s="749">
        <v>22</v>
      </c>
      <c r="E45" s="749">
        <v>21</v>
      </c>
      <c r="F45" s="749">
        <v>56</v>
      </c>
      <c r="G45" s="749">
        <v>11</v>
      </c>
      <c r="H45" s="749">
        <v>22</v>
      </c>
      <c r="I45" s="750">
        <v>55</v>
      </c>
      <c r="J45" s="371"/>
      <c r="K45" s="370"/>
      <c r="L45" s="370"/>
      <c r="M45" s="370"/>
      <c r="N45" s="370"/>
      <c r="O45" s="370"/>
    </row>
    <row r="46" spans="2:15" ht="12.75">
      <c r="B46" s="3" t="s">
        <v>37</v>
      </c>
      <c r="C46" s="749">
        <v>64</v>
      </c>
      <c r="D46" s="749">
        <v>54</v>
      </c>
      <c r="E46" s="749">
        <v>22</v>
      </c>
      <c r="F46" s="749">
        <v>24</v>
      </c>
      <c r="G46" s="749">
        <v>54</v>
      </c>
      <c r="H46" s="749">
        <v>215</v>
      </c>
      <c r="I46" s="750">
        <v>21</v>
      </c>
      <c r="J46" s="371"/>
      <c r="K46" s="370"/>
      <c r="L46" s="370"/>
      <c r="M46" s="370"/>
      <c r="N46" s="370"/>
      <c r="O46" s="370"/>
    </row>
    <row r="47" spans="2:15" ht="12.75">
      <c r="B47" s="3" t="s">
        <v>38</v>
      </c>
      <c r="C47" s="749">
        <v>65</v>
      </c>
      <c r="D47" s="749">
        <v>68</v>
      </c>
      <c r="E47" s="749">
        <v>24</v>
      </c>
      <c r="F47" s="749">
        <v>15</v>
      </c>
      <c r="G47" s="749">
        <v>17</v>
      </c>
      <c r="H47" s="749">
        <v>61</v>
      </c>
      <c r="I47" s="750">
        <v>16</v>
      </c>
      <c r="J47" s="371"/>
      <c r="K47" s="370"/>
      <c r="L47" s="370"/>
      <c r="M47" s="370"/>
      <c r="N47" s="370"/>
      <c r="O47" s="370"/>
    </row>
    <row r="48" spans="2:15" ht="12.75">
      <c r="B48" s="4" t="s">
        <v>39</v>
      </c>
      <c r="C48" s="721">
        <v>0</v>
      </c>
      <c r="D48" s="721">
        <v>0</v>
      </c>
      <c r="E48" s="721">
        <v>0</v>
      </c>
      <c r="F48" s="721">
        <v>0</v>
      </c>
      <c r="G48" s="721">
        <v>0</v>
      </c>
      <c r="H48" s="721">
        <v>66</v>
      </c>
      <c r="I48" s="722">
        <v>39</v>
      </c>
      <c r="J48" s="345"/>
      <c r="K48" s="344"/>
      <c r="L48" s="344"/>
      <c r="M48" s="344"/>
      <c r="N48" s="344"/>
      <c r="O48" s="344"/>
    </row>
    <row r="49" spans="2:15" ht="12.75">
      <c r="B49" s="79" t="s">
        <v>146</v>
      </c>
      <c r="C49" s="719"/>
      <c r="D49" s="719"/>
      <c r="E49" s="719"/>
      <c r="F49" s="719"/>
      <c r="G49" s="719"/>
      <c r="H49" s="719"/>
      <c r="I49" s="720"/>
      <c r="J49" s="337"/>
      <c r="K49" s="335"/>
      <c r="L49" s="335"/>
      <c r="M49" s="335"/>
      <c r="N49" s="335"/>
      <c r="O49" s="335"/>
    </row>
    <row r="50" spans="2:15" ht="12.75">
      <c r="B50" s="4" t="s">
        <v>47</v>
      </c>
      <c r="C50" s="711">
        <v>0</v>
      </c>
      <c r="D50" s="711">
        <v>0</v>
      </c>
      <c r="E50" s="711">
        <v>0</v>
      </c>
      <c r="F50" s="711">
        <v>36</v>
      </c>
      <c r="G50" s="711">
        <v>56</v>
      </c>
      <c r="H50" s="711">
        <v>0</v>
      </c>
      <c r="I50" s="712">
        <v>0</v>
      </c>
      <c r="J50" s="340"/>
      <c r="K50" s="338"/>
      <c r="L50" s="338"/>
      <c r="M50" s="338"/>
      <c r="N50" s="338"/>
      <c r="O50" s="338"/>
    </row>
    <row r="51" spans="2:15" ht="12.75">
      <c r="B51" s="47" t="s">
        <v>55</v>
      </c>
      <c r="C51" s="751">
        <v>0</v>
      </c>
      <c r="D51" s="751">
        <v>0</v>
      </c>
      <c r="E51" s="751">
        <v>0</v>
      </c>
      <c r="F51" s="751">
        <v>46</v>
      </c>
      <c r="G51" s="751">
        <v>55</v>
      </c>
      <c r="H51" s="751">
        <v>0</v>
      </c>
      <c r="I51" s="752">
        <v>21</v>
      </c>
      <c r="J51" s="342"/>
      <c r="K51" s="343"/>
      <c r="L51" s="343"/>
      <c r="M51" s="343"/>
      <c r="N51" s="343"/>
      <c r="O51" s="343"/>
    </row>
    <row r="52" spans="2:15" ht="12.75">
      <c r="B52" s="72" t="s">
        <v>143</v>
      </c>
      <c r="C52" s="753">
        <f>C26+C27+C28+C29+C30</f>
        <v>144534</v>
      </c>
      <c r="D52" s="753">
        <f aca="true" t="shared" si="4" ref="D52:O52">D26+D27+D28+D29+D30</f>
        <v>509.5</v>
      </c>
      <c r="E52" s="753">
        <f t="shared" si="4"/>
        <v>379</v>
      </c>
      <c r="F52" s="753">
        <f t="shared" si="4"/>
        <v>343.5</v>
      </c>
      <c r="G52" s="753">
        <f t="shared" si="4"/>
        <v>871.5</v>
      </c>
      <c r="H52" s="753">
        <f t="shared" si="4"/>
        <v>4379.5</v>
      </c>
      <c r="I52" s="754">
        <f t="shared" si="4"/>
        <v>559.5</v>
      </c>
      <c r="J52" s="373">
        <f t="shared" si="4"/>
        <v>0</v>
      </c>
      <c r="K52" s="372">
        <f t="shared" si="4"/>
        <v>0</v>
      </c>
      <c r="L52" s="372">
        <f t="shared" si="4"/>
        <v>0</v>
      </c>
      <c r="M52" s="372">
        <f t="shared" si="4"/>
        <v>0</v>
      </c>
      <c r="N52" s="372">
        <f t="shared" si="4"/>
        <v>0</v>
      </c>
      <c r="O52" s="372">
        <f t="shared" si="4"/>
        <v>0</v>
      </c>
    </row>
    <row r="53" spans="2:15" ht="12.75">
      <c r="B53" s="72" t="s">
        <v>53</v>
      </c>
      <c r="C53" s="755">
        <f>SUM(C26:C30)+SUM(C35:C39)+SUM(C44:C48)</f>
        <v>195675.5</v>
      </c>
      <c r="D53" s="755">
        <f aca="true" t="shared" si="5" ref="D53:O53">SUM(D26:D30)+SUM(D35:D39)+SUM(D44:D48)</f>
        <v>1972.5</v>
      </c>
      <c r="E53" s="755">
        <f t="shared" si="5"/>
        <v>717.5</v>
      </c>
      <c r="F53" s="755">
        <f t="shared" si="5"/>
        <v>1106.5</v>
      </c>
      <c r="G53" s="755">
        <f t="shared" si="5"/>
        <v>2260.5</v>
      </c>
      <c r="H53" s="755">
        <f t="shared" si="5"/>
        <v>6924.5</v>
      </c>
      <c r="I53" s="754">
        <f t="shared" si="5"/>
        <v>9593.5</v>
      </c>
      <c r="J53" s="375">
        <f t="shared" si="5"/>
        <v>0</v>
      </c>
      <c r="K53" s="374">
        <f t="shared" si="5"/>
        <v>0</v>
      </c>
      <c r="L53" s="374">
        <f t="shared" si="5"/>
        <v>0</v>
      </c>
      <c r="M53" s="374">
        <f t="shared" si="5"/>
        <v>0</v>
      </c>
      <c r="N53" s="374">
        <f t="shared" si="5"/>
        <v>0</v>
      </c>
      <c r="O53" s="374">
        <f t="shared" si="5"/>
        <v>0</v>
      </c>
    </row>
    <row r="54" spans="2:15" ht="12.75">
      <c r="B54" s="72" t="s">
        <v>54</v>
      </c>
      <c r="C54" s="755">
        <f aca="true" t="shared" si="6" ref="C54:H54">C32+C33+C41+C42+C50+C51</f>
        <v>0</v>
      </c>
      <c r="D54" s="755">
        <f t="shared" si="6"/>
        <v>56076</v>
      </c>
      <c r="E54" s="755">
        <f t="shared" si="6"/>
        <v>91782</v>
      </c>
      <c r="F54" s="755">
        <f t="shared" si="6"/>
        <v>105315</v>
      </c>
      <c r="G54" s="755">
        <f t="shared" si="6"/>
        <v>11279</v>
      </c>
      <c r="H54" s="755">
        <f t="shared" si="6"/>
        <v>121701</v>
      </c>
      <c r="I54" s="754">
        <f>I32+I33+I41+I42+I50+I51</f>
        <v>114706</v>
      </c>
      <c r="J54" s="375">
        <f aca="true" t="shared" si="7" ref="J54:O54">SUM(J32:J33)+SUM(J41:J42)-SUM(J50:J51)</f>
        <v>0</v>
      </c>
      <c r="K54" s="374">
        <f t="shared" si="7"/>
        <v>0</v>
      </c>
      <c r="L54" s="374">
        <f t="shared" si="7"/>
        <v>0</v>
      </c>
      <c r="M54" s="374">
        <f t="shared" si="7"/>
        <v>0</v>
      </c>
      <c r="N54" s="374">
        <f t="shared" si="7"/>
        <v>0</v>
      </c>
      <c r="O54" s="374">
        <f t="shared" si="7"/>
        <v>0</v>
      </c>
    </row>
    <row r="55" spans="2:15" ht="12.75">
      <c r="B55" s="10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</row>
    <row r="56" spans="2:15" ht="12.75">
      <c r="B56" s="117" t="s">
        <v>103</v>
      </c>
      <c r="C56" s="377"/>
      <c r="D56" s="378"/>
      <c r="E56" s="378"/>
      <c r="F56" s="378"/>
      <c r="G56" s="378"/>
      <c r="H56" s="378"/>
      <c r="I56" s="378"/>
      <c r="J56" s="351"/>
      <c r="K56" s="351"/>
      <c r="L56" s="351"/>
      <c r="M56" s="351"/>
      <c r="N56" s="351"/>
      <c r="O56" s="351"/>
    </row>
    <row r="57" spans="2:15" ht="12.75">
      <c r="B57" s="3" t="s">
        <v>35</v>
      </c>
      <c r="C57" s="756">
        <v>2547</v>
      </c>
      <c r="D57" s="756">
        <v>215</v>
      </c>
      <c r="E57" s="756">
        <v>11</v>
      </c>
      <c r="F57" s="756">
        <v>864</v>
      </c>
      <c r="G57" s="756">
        <v>44</v>
      </c>
      <c r="H57" s="756">
        <v>25</v>
      </c>
      <c r="I57" s="757">
        <v>51</v>
      </c>
      <c r="J57" s="371"/>
      <c r="K57" s="370"/>
      <c r="L57" s="370"/>
      <c r="M57" s="370"/>
      <c r="N57" s="370"/>
      <c r="O57" s="370"/>
    </row>
    <row r="58" spans="2:15" ht="12.75">
      <c r="B58" s="3" t="s">
        <v>36</v>
      </c>
      <c r="C58" s="756">
        <v>54556</v>
      </c>
      <c r="D58" s="756">
        <v>0</v>
      </c>
      <c r="E58" s="756">
        <v>0</v>
      </c>
      <c r="F58" s="756">
        <v>0</v>
      </c>
      <c r="G58" s="756">
        <v>0</v>
      </c>
      <c r="H58" s="756">
        <v>14</v>
      </c>
      <c r="I58" s="757">
        <v>24</v>
      </c>
      <c r="J58" s="371"/>
      <c r="K58" s="370"/>
      <c r="L58" s="370"/>
      <c r="M58" s="370"/>
      <c r="N58" s="370"/>
      <c r="O58" s="370"/>
    </row>
    <row r="59" spans="2:15" ht="12.75">
      <c r="B59" s="3" t="s">
        <v>37</v>
      </c>
      <c r="C59" s="756">
        <v>66</v>
      </c>
      <c r="D59" s="756">
        <v>0</v>
      </c>
      <c r="E59" s="756">
        <v>0</v>
      </c>
      <c r="F59" s="756">
        <v>254</v>
      </c>
      <c r="G59" s="756">
        <v>19</v>
      </c>
      <c r="H59" s="756">
        <v>0</v>
      </c>
      <c r="I59" s="757">
        <v>13</v>
      </c>
      <c r="J59" s="371"/>
      <c r="K59" s="370"/>
      <c r="L59" s="370"/>
      <c r="M59" s="370"/>
      <c r="N59" s="370"/>
      <c r="O59" s="370"/>
    </row>
    <row r="60" spans="2:15" ht="12.75">
      <c r="B60" s="3" t="s">
        <v>38</v>
      </c>
      <c r="C60" s="756">
        <v>24</v>
      </c>
      <c r="D60" s="756">
        <v>564</v>
      </c>
      <c r="E60" s="756">
        <v>45</v>
      </c>
      <c r="F60" s="756">
        <v>152</v>
      </c>
      <c r="G60" s="756">
        <v>541</v>
      </c>
      <c r="H60" s="756">
        <v>24</v>
      </c>
      <c r="I60" s="757">
        <v>544</v>
      </c>
      <c r="J60" s="371"/>
      <c r="K60" s="370"/>
      <c r="L60" s="370"/>
      <c r="M60" s="370"/>
      <c r="N60" s="370"/>
      <c r="O60" s="370"/>
    </row>
    <row r="61" spans="2:15" ht="12.75">
      <c r="B61" s="3" t="s">
        <v>39</v>
      </c>
      <c r="C61" s="756">
        <v>4598</v>
      </c>
      <c r="D61" s="756">
        <v>258</v>
      </c>
      <c r="E61" s="756">
        <v>257</v>
      </c>
      <c r="F61" s="756">
        <v>649</v>
      </c>
      <c r="G61" s="756">
        <v>185</v>
      </c>
      <c r="H61" s="756">
        <v>215</v>
      </c>
      <c r="I61" s="757">
        <v>544</v>
      </c>
      <c r="J61" s="371"/>
      <c r="K61" s="370"/>
      <c r="L61" s="370"/>
      <c r="M61" s="370"/>
      <c r="N61" s="370"/>
      <c r="O61" s="370"/>
    </row>
    <row r="62" spans="2:15" ht="12.75">
      <c r="B62" s="30" t="s">
        <v>43</v>
      </c>
      <c r="C62" s="756">
        <f>SUM(C57:C61)</f>
        <v>61791</v>
      </c>
      <c r="D62" s="756">
        <f aca="true" t="shared" si="8" ref="D62:O62">SUM(D57:D61)</f>
        <v>1037</v>
      </c>
      <c r="E62" s="756">
        <f t="shared" si="8"/>
        <v>313</v>
      </c>
      <c r="F62" s="756">
        <f t="shared" si="8"/>
        <v>1919</v>
      </c>
      <c r="G62" s="756">
        <f t="shared" si="8"/>
        <v>789</v>
      </c>
      <c r="H62" s="756">
        <f t="shared" si="8"/>
        <v>278</v>
      </c>
      <c r="I62" s="758">
        <f t="shared" si="8"/>
        <v>1176</v>
      </c>
      <c r="J62" s="380">
        <f t="shared" si="8"/>
        <v>0</v>
      </c>
      <c r="K62" s="379">
        <f t="shared" si="8"/>
        <v>0</v>
      </c>
      <c r="L62" s="379">
        <f t="shared" si="8"/>
        <v>0</v>
      </c>
      <c r="M62" s="379">
        <f t="shared" si="8"/>
        <v>0</v>
      </c>
      <c r="N62" s="379">
        <f t="shared" si="8"/>
        <v>0</v>
      </c>
      <c r="O62" s="379">
        <f t="shared" si="8"/>
        <v>0</v>
      </c>
    </row>
    <row r="63" spans="2:15" ht="12.75">
      <c r="B63" s="54" t="s">
        <v>144</v>
      </c>
      <c r="C63" s="759">
        <v>444</v>
      </c>
      <c r="D63" s="759">
        <v>66</v>
      </c>
      <c r="E63" s="759">
        <v>15</v>
      </c>
      <c r="F63" s="759"/>
      <c r="G63" s="759"/>
      <c r="H63" s="759"/>
      <c r="I63" s="760"/>
      <c r="J63" s="382"/>
      <c r="K63" s="381"/>
      <c r="L63" s="381"/>
      <c r="M63" s="381"/>
      <c r="N63" s="381"/>
      <c r="O63" s="381"/>
    </row>
    <row r="64" spans="2:15" ht="12.75">
      <c r="B64" s="79" t="s">
        <v>147</v>
      </c>
      <c r="C64" s="761"/>
      <c r="D64" s="761"/>
      <c r="E64" s="761"/>
      <c r="F64" s="761"/>
      <c r="G64" s="761"/>
      <c r="H64" s="761"/>
      <c r="I64" s="762"/>
      <c r="J64" s="337"/>
      <c r="K64" s="335"/>
      <c r="L64" s="335"/>
      <c r="M64" s="335"/>
      <c r="N64" s="335"/>
      <c r="O64" s="335"/>
    </row>
    <row r="65" spans="2:15" ht="12.75">
      <c r="B65" s="4" t="s">
        <v>47</v>
      </c>
      <c r="C65" s="756">
        <v>55</v>
      </c>
      <c r="D65" s="756">
        <v>11</v>
      </c>
      <c r="E65" s="756">
        <v>0</v>
      </c>
      <c r="F65" s="756">
        <v>24</v>
      </c>
      <c r="G65" s="756">
        <v>87</v>
      </c>
      <c r="H65" s="756">
        <v>97</v>
      </c>
      <c r="I65" s="757">
        <v>0</v>
      </c>
      <c r="J65" s="371"/>
      <c r="K65" s="370"/>
      <c r="L65" s="370"/>
      <c r="M65" s="370"/>
      <c r="N65" s="370"/>
      <c r="O65" s="370"/>
    </row>
    <row r="66" spans="2:15" ht="12.75">
      <c r="B66" s="4" t="s">
        <v>55</v>
      </c>
      <c r="C66" s="763">
        <v>0</v>
      </c>
      <c r="D66" s="763">
        <v>17</v>
      </c>
      <c r="E66" s="763">
        <v>23</v>
      </c>
      <c r="F66" s="763">
        <v>22</v>
      </c>
      <c r="G66" s="763">
        <v>544</v>
      </c>
      <c r="H66" s="763">
        <v>154</v>
      </c>
      <c r="I66" s="758">
        <v>54</v>
      </c>
      <c r="J66" s="340"/>
      <c r="K66" s="338"/>
      <c r="L66" s="338"/>
      <c r="M66" s="338"/>
      <c r="N66" s="338"/>
      <c r="O66" s="338"/>
    </row>
    <row r="67" spans="2:15" ht="12.75">
      <c r="B67" s="82" t="s">
        <v>43</v>
      </c>
      <c r="C67" s="764">
        <f>SUM(C65:C66)</f>
        <v>55</v>
      </c>
      <c r="D67" s="764">
        <f aca="true" t="shared" si="9" ref="D67:O67">SUM(D65:D66)</f>
        <v>28</v>
      </c>
      <c r="E67" s="764">
        <f t="shared" si="9"/>
        <v>23</v>
      </c>
      <c r="F67" s="764">
        <f t="shared" si="9"/>
        <v>46</v>
      </c>
      <c r="G67" s="764">
        <f t="shared" si="9"/>
        <v>631</v>
      </c>
      <c r="H67" s="764">
        <f t="shared" si="9"/>
        <v>251</v>
      </c>
      <c r="I67" s="765">
        <f t="shared" si="9"/>
        <v>54</v>
      </c>
      <c r="J67" s="384">
        <f t="shared" si="9"/>
        <v>0</v>
      </c>
      <c r="K67" s="383">
        <f t="shared" si="9"/>
        <v>0</v>
      </c>
      <c r="L67" s="383">
        <f t="shared" si="9"/>
        <v>0</v>
      </c>
      <c r="M67" s="383">
        <f t="shared" si="9"/>
        <v>0</v>
      </c>
      <c r="N67" s="383">
        <f t="shared" si="9"/>
        <v>0</v>
      </c>
      <c r="O67" s="383">
        <f t="shared" si="9"/>
        <v>0</v>
      </c>
    </row>
    <row r="68" spans="2:15" s="116" customFormat="1" ht="12.75">
      <c r="B68" s="20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</row>
    <row r="69" spans="2:15" ht="12.75">
      <c r="B69" s="204" t="s">
        <v>104</v>
      </c>
      <c r="C69" s="378"/>
      <c r="D69" s="378"/>
      <c r="E69" s="378"/>
      <c r="F69" s="378"/>
      <c r="G69" s="378"/>
      <c r="H69" s="378"/>
      <c r="I69" s="378"/>
      <c r="J69" s="351"/>
      <c r="K69" s="351"/>
      <c r="L69" s="351"/>
      <c r="M69" s="351"/>
      <c r="N69" s="351"/>
      <c r="O69" s="351"/>
    </row>
    <row r="70" spans="2:16" ht="12.75">
      <c r="B70" s="2" t="s">
        <v>35</v>
      </c>
      <c r="C70" s="756">
        <v>26</v>
      </c>
      <c r="D70" s="756">
        <v>157</v>
      </c>
      <c r="E70" s="756">
        <v>54</v>
      </c>
      <c r="F70" s="756">
        <v>8745</v>
      </c>
      <c r="G70" s="756">
        <v>54</v>
      </c>
      <c r="H70" s="756">
        <v>0</v>
      </c>
      <c r="I70" s="757">
        <v>0</v>
      </c>
      <c r="J70" s="371"/>
      <c r="K70" s="370"/>
      <c r="L70" s="370"/>
      <c r="M70" s="370"/>
      <c r="N70" s="370"/>
      <c r="O70" s="370"/>
      <c r="P70" s="6"/>
    </row>
    <row r="71" spans="2:16" ht="12.75">
      <c r="B71" s="3" t="s">
        <v>36</v>
      </c>
      <c r="C71" s="756">
        <v>44</v>
      </c>
      <c r="D71" s="756">
        <v>35</v>
      </c>
      <c r="E71" s="756">
        <v>65</v>
      </c>
      <c r="F71" s="756">
        <v>44</v>
      </c>
      <c r="G71" s="756">
        <v>5431</v>
      </c>
      <c r="H71" s="756">
        <v>55</v>
      </c>
      <c r="I71" s="757">
        <v>124</v>
      </c>
      <c r="J71" s="371"/>
      <c r="K71" s="370"/>
      <c r="L71" s="370"/>
      <c r="M71" s="370"/>
      <c r="N71" s="370"/>
      <c r="O71" s="370"/>
      <c r="P71" s="6"/>
    </row>
    <row r="72" spans="2:16" ht="12.75">
      <c r="B72" s="3" t="s">
        <v>37</v>
      </c>
      <c r="C72" s="756">
        <v>64</v>
      </c>
      <c r="D72" s="756">
        <v>5</v>
      </c>
      <c r="E72" s="756">
        <v>555</v>
      </c>
      <c r="F72" s="756">
        <v>55</v>
      </c>
      <c r="G72" s="756">
        <v>54</v>
      </c>
      <c r="H72" s="756">
        <v>64</v>
      </c>
      <c r="I72" s="757">
        <v>54</v>
      </c>
      <c r="J72" s="371"/>
      <c r="K72" s="370"/>
      <c r="L72" s="370"/>
      <c r="M72" s="370"/>
      <c r="N72" s="370"/>
      <c r="O72" s="370"/>
      <c r="P72" s="6"/>
    </row>
    <row r="73" spans="2:16" ht="12.75">
      <c r="B73" s="3" t="s">
        <v>38</v>
      </c>
      <c r="C73" s="756">
        <v>0</v>
      </c>
      <c r="D73" s="756">
        <v>163</v>
      </c>
      <c r="E73" s="756">
        <v>656</v>
      </c>
      <c r="F73" s="756">
        <v>47</v>
      </c>
      <c r="G73" s="756">
        <v>21</v>
      </c>
      <c r="H73" s="756">
        <v>88</v>
      </c>
      <c r="I73" s="757">
        <v>14</v>
      </c>
      <c r="J73" s="371"/>
      <c r="K73" s="370"/>
      <c r="L73" s="370"/>
      <c r="M73" s="370"/>
      <c r="N73" s="370"/>
      <c r="O73" s="370"/>
      <c r="P73" s="6"/>
    </row>
    <row r="74" spans="2:16" ht="12.75">
      <c r="B74" s="3" t="s">
        <v>39</v>
      </c>
      <c r="C74" s="756">
        <v>64</v>
      </c>
      <c r="D74" s="756">
        <v>321</v>
      </c>
      <c r="E74" s="756">
        <v>5413</v>
      </c>
      <c r="F74" s="756">
        <v>4983</v>
      </c>
      <c r="G74" s="756">
        <v>64</v>
      </c>
      <c r="H74" s="756">
        <v>1216</v>
      </c>
      <c r="I74" s="757">
        <v>14</v>
      </c>
      <c r="J74" s="371"/>
      <c r="K74" s="370"/>
      <c r="L74" s="370"/>
      <c r="M74" s="370"/>
      <c r="N74" s="370"/>
      <c r="O74" s="370"/>
      <c r="P74" s="6"/>
    </row>
    <row r="75" spans="2:16" ht="12.75">
      <c r="B75" s="4" t="s">
        <v>51</v>
      </c>
      <c r="C75" s="759">
        <f>SUM(C70:C74)</f>
        <v>198</v>
      </c>
      <c r="D75" s="759">
        <f aca="true" t="shared" si="10" ref="D75:O75">SUM(D70:D74)</f>
        <v>681</v>
      </c>
      <c r="E75" s="759">
        <f t="shared" si="10"/>
        <v>6743</v>
      </c>
      <c r="F75" s="759">
        <f t="shared" si="10"/>
        <v>13874</v>
      </c>
      <c r="G75" s="759">
        <f t="shared" si="10"/>
        <v>5624</v>
      </c>
      <c r="H75" s="759">
        <f t="shared" si="10"/>
        <v>1423</v>
      </c>
      <c r="I75" s="766">
        <f t="shared" si="10"/>
        <v>206</v>
      </c>
      <c r="J75" s="382">
        <f t="shared" si="10"/>
        <v>0</v>
      </c>
      <c r="K75" s="381">
        <f t="shared" si="10"/>
        <v>0</v>
      </c>
      <c r="L75" s="381">
        <f t="shared" si="10"/>
        <v>0</v>
      </c>
      <c r="M75" s="381">
        <f t="shared" si="10"/>
        <v>0</v>
      </c>
      <c r="N75" s="381">
        <f t="shared" si="10"/>
        <v>0</v>
      </c>
      <c r="O75" s="381">
        <f t="shared" si="10"/>
        <v>0</v>
      </c>
      <c r="P75" s="6"/>
    </row>
    <row r="76" spans="2:16" ht="12.75">
      <c r="B76" s="207" t="s">
        <v>148</v>
      </c>
      <c r="C76" s="761"/>
      <c r="D76" s="761"/>
      <c r="E76" s="761"/>
      <c r="F76" s="761"/>
      <c r="G76" s="761"/>
      <c r="H76" s="761"/>
      <c r="I76" s="762"/>
      <c r="J76" s="337"/>
      <c r="K76" s="335"/>
      <c r="L76" s="335"/>
      <c r="M76" s="335"/>
      <c r="N76" s="335"/>
      <c r="O76" s="335"/>
      <c r="P76" s="6"/>
    </row>
    <row r="77" spans="2:16" ht="12.75">
      <c r="B77" s="4" t="s">
        <v>47</v>
      </c>
      <c r="C77" s="756">
        <v>0</v>
      </c>
      <c r="D77" s="756">
        <v>0</v>
      </c>
      <c r="E77" s="756">
        <v>1254</v>
      </c>
      <c r="F77" s="756">
        <v>0</v>
      </c>
      <c r="G77" s="756">
        <v>0</v>
      </c>
      <c r="H77" s="756">
        <v>0</v>
      </c>
      <c r="I77" s="757">
        <v>0</v>
      </c>
      <c r="J77" s="371"/>
      <c r="K77" s="370"/>
      <c r="L77" s="370"/>
      <c r="M77" s="370"/>
      <c r="N77" s="370"/>
      <c r="O77" s="370"/>
      <c r="P77" s="6"/>
    </row>
    <row r="78" spans="2:16" ht="12.75">
      <c r="B78" s="4" t="s">
        <v>55</v>
      </c>
      <c r="C78" s="763">
        <v>0</v>
      </c>
      <c r="D78" s="763">
        <v>0</v>
      </c>
      <c r="E78" s="763">
        <v>154</v>
      </c>
      <c r="F78" s="763">
        <v>2658</v>
      </c>
      <c r="G78" s="763">
        <v>0</v>
      </c>
      <c r="H78" s="763">
        <v>154</v>
      </c>
      <c r="I78" s="758">
        <v>0</v>
      </c>
      <c r="J78" s="340"/>
      <c r="K78" s="338"/>
      <c r="L78" s="338"/>
      <c r="M78" s="338"/>
      <c r="N78" s="338"/>
      <c r="O78" s="338"/>
      <c r="P78" s="6"/>
    </row>
    <row r="79" spans="2:16" ht="12.75">
      <c r="B79" s="82" t="s">
        <v>51</v>
      </c>
      <c r="C79" s="764">
        <f>SUM(C77:C78)</f>
        <v>0</v>
      </c>
      <c r="D79" s="764">
        <f aca="true" t="shared" si="11" ref="D79:O79">SUM(D77:D78)</f>
        <v>0</v>
      </c>
      <c r="E79" s="764">
        <f t="shared" si="11"/>
        <v>1408</v>
      </c>
      <c r="F79" s="764">
        <f t="shared" si="11"/>
        <v>2658</v>
      </c>
      <c r="G79" s="764">
        <f t="shared" si="11"/>
        <v>0</v>
      </c>
      <c r="H79" s="764">
        <f t="shared" si="11"/>
        <v>154</v>
      </c>
      <c r="I79" s="765">
        <f t="shared" si="11"/>
        <v>0</v>
      </c>
      <c r="J79" s="348">
        <f t="shared" si="11"/>
        <v>0</v>
      </c>
      <c r="K79" s="341">
        <f t="shared" si="11"/>
        <v>0</v>
      </c>
      <c r="L79" s="341">
        <f t="shared" si="11"/>
        <v>0</v>
      </c>
      <c r="M79" s="341">
        <f t="shared" si="11"/>
        <v>0</v>
      </c>
      <c r="N79" s="341">
        <f t="shared" si="11"/>
        <v>0</v>
      </c>
      <c r="O79" s="341">
        <f t="shared" si="11"/>
        <v>0</v>
      </c>
      <c r="P79" s="6"/>
    </row>
    <row r="80" spans="2:15" ht="12.75">
      <c r="B80" s="115"/>
      <c r="C80" s="386"/>
      <c r="D80" s="386"/>
      <c r="E80" s="386"/>
      <c r="F80" s="386"/>
      <c r="G80" s="386"/>
      <c r="H80" s="386"/>
      <c r="I80" s="386"/>
      <c r="J80" s="387"/>
      <c r="K80" s="387"/>
      <c r="L80" s="387"/>
      <c r="M80" s="387"/>
      <c r="N80" s="387"/>
      <c r="O80" s="387"/>
    </row>
    <row r="81" spans="2:15" ht="12.75">
      <c r="B81" s="65" t="s">
        <v>105</v>
      </c>
      <c r="C81" s="377"/>
      <c r="D81" s="378"/>
      <c r="E81" s="378"/>
      <c r="F81" s="378"/>
      <c r="G81" s="378"/>
      <c r="H81" s="378"/>
      <c r="I81" s="378"/>
      <c r="J81" s="351"/>
      <c r="K81" s="351"/>
      <c r="L81" s="351"/>
      <c r="M81" s="351"/>
      <c r="N81" s="351"/>
      <c r="O81" s="351"/>
    </row>
    <row r="82" spans="2:15" ht="12.75">
      <c r="B82" s="3" t="s">
        <v>35</v>
      </c>
      <c r="C82" s="756">
        <v>12357</v>
      </c>
      <c r="D82" s="756">
        <v>5754</v>
      </c>
      <c r="E82" s="756">
        <v>54845</v>
      </c>
      <c r="F82" s="756">
        <v>945454</v>
      </c>
      <c r="G82" s="756">
        <v>5644</v>
      </c>
      <c r="H82" s="756">
        <v>431450</v>
      </c>
      <c r="I82" s="757">
        <v>587</v>
      </c>
      <c r="J82" s="540"/>
      <c r="K82" s="541"/>
      <c r="L82" s="541"/>
      <c r="M82" s="541"/>
      <c r="N82" s="541"/>
      <c r="O82" s="541"/>
    </row>
    <row r="83" spans="2:15" ht="12.75">
      <c r="B83" s="3" t="s">
        <v>36</v>
      </c>
      <c r="C83" s="756">
        <v>55463</v>
      </c>
      <c r="D83" s="756">
        <v>6564</v>
      </c>
      <c r="E83" s="756">
        <v>1456</v>
      </c>
      <c r="F83" s="756">
        <v>5453</v>
      </c>
      <c r="G83" s="756">
        <v>6454</v>
      </c>
      <c r="H83" s="756">
        <v>324151</v>
      </c>
      <c r="I83" s="757">
        <v>214</v>
      </c>
      <c r="J83" s="540"/>
      <c r="K83" s="541"/>
      <c r="L83" s="541"/>
      <c r="M83" s="541"/>
      <c r="N83" s="541"/>
      <c r="O83" s="541"/>
    </row>
    <row r="84" spans="2:15" ht="12.75">
      <c r="B84" s="3" t="s">
        <v>37</v>
      </c>
      <c r="C84" s="756">
        <v>656</v>
      </c>
      <c r="D84" s="756">
        <v>64564</v>
      </c>
      <c r="E84" s="756">
        <v>84356</v>
      </c>
      <c r="F84" s="756">
        <v>4890</v>
      </c>
      <c r="G84" s="756">
        <v>64448</v>
      </c>
      <c r="H84" s="756">
        <v>54441</v>
      </c>
      <c r="I84" s="757">
        <v>354412</v>
      </c>
      <c r="J84" s="540"/>
      <c r="K84" s="541"/>
      <c r="L84" s="541"/>
      <c r="M84" s="541"/>
      <c r="N84" s="541"/>
      <c r="O84" s="541"/>
    </row>
    <row r="85" spans="2:15" ht="12.75">
      <c r="B85" s="3" t="s">
        <v>38</v>
      </c>
      <c r="C85" s="756">
        <v>656</v>
      </c>
      <c r="D85" s="756">
        <v>14656</v>
      </c>
      <c r="E85" s="756">
        <v>33541</v>
      </c>
      <c r="F85" s="756">
        <v>16530</v>
      </c>
      <c r="G85" s="756">
        <v>641365</v>
      </c>
      <c r="H85" s="756">
        <v>444</v>
      </c>
      <c r="I85" s="757">
        <v>2652</v>
      </c>
      <c r="J85" s="540"/>
      <c r="K85" s="541"/>
      <c r="L85" s="541"/>
      <c r="M85" s="541"/>
      <c r="N85" s="541"/>
      <c r="O85" s="541"/>
    </row>
    <row r="86" spans="2:15" ht="12.75">
      <c r="B86" s="3" t="s">
        <v>39</v>
      </c>
      <c r="C86" s="756">
        <v>0</v>
      </c>
      <c r="D86" s="756">
        <v>0</v>
      </c>
      <c r="E86" s="756">
        <v>0</v>
      </c>
      <c r="F86" s="756">
        <v>0</v>
      </c>
      <c r="G86" s="756">
        <v>0</v>
      </c>
      <c r="H86" s="756">
        <v>1564</v>
      </c>
      <c r="I86" s="757">
        <v>0</v>
      </c>
      <c r="J86" s="540"/>
      <c r="K86" s="541"/>
      <c r="L86" s="541"/>
      <c r="M86" s="541"/>
      <c r="N86" s="541"/>
      <c r="O86" s="541"/>
    </row>
    <row r="87" spans="2:15" ht="12.75">
      <c r="B87" s="4" t="s">
        <v>52</v>
      </c>
      <c r="C87" s="759">
        <f>SUM(C82:C86)</f>
        <v>69132</v>
      </c>
      <c r="D87" s="759">
        <f aca="true" t="shared" si="12" ref="D87:O87">SUM(D82:D86)</f>
        <v>91538</v>
      </c>
      <c r="E87" s="759">
        <f t="shared" si="12"/>
        <v>174198</v>
      </c>
      <c r="F87" s="759">
        <f t="shared" si="12"/>
        <v>972327</v>
      </c>
      <c r="G87" s="759">
        <f t="shared" si="12"/>
        <v>717911</v>
      </c>
      <c r="H87" s="759">
        <f t="shared" si="12"/>
        <v>812050</v>
      </c>
      <c r="I87" s="766">
        <f t="shared" si="12"/>
        <v>357865</v>
      </c>
      <c r="J87" s="382">
        <f t="shared" si="12"/>
        <v>0</v>
      </c>
      <c r="K87" s="381">
        <f t="shared" si="12"/>
        <v>0</v>
      </c>
      <c r="L87" s="381">
        <f t="shared" si="12"/>
        <v>0</v>
      </c>
      <c r="M87" s="381">
        <f t="shared" si="12"/>
        <v>0</v>
      </c>
      <c r="N87" s="381">
        <f t="shared" si="12"/>
        <v>0</v>
      </c>
      <c r="O87" s="381">
        <f t="shared" si="12"/>
        <v>0</v>
      </c>
    </row>
    <row r="88" spans="2:15" ht="12.75">
      <c r="B88" s="79" t="s">
        <v>149</v>
      </c>
      <c r="C88" s="761"/>
      <c r="D88" s="761"/>
      <c r="E88" s="761"/>
      <c r="F88" s="761"/>
      <c r="G88" s="761"/>
      <c r="H88" s="761"/>
      <c r="I88" s="762"/>
      <c r="J88" s="542"/>
      <c r="K88" s="543"/>
      <c r="L88" s="543"/>
      <c r="M88" s="543"/>
      <c r="N88" s="543"/>
      <c r="O88" s="543"/>
    </row>
    <row r="89" spans="2:15" ht="12.75">
      <c r="B89" s="4" t="s">
        <v>47</v>
      </c>
      <c r="C89" s="756">
        <v>0</v>
      </c>
      <c r="D89" s="756">
        <v>0</v>
      </c>
      <c r="E89" s="756">
        <v>0</v>
      </c>
      <c r="F89" s="756">
        <v>0</v>
      </c>
      <c r="G89" s="756">
        <v>0</v>
      </c>
      <c r="H89" s="756">
        <v>0</v>
      </c>
      <c r="I89" s="757">
        <v>0</v>
      </c>
      <c r="J89" s="540"/>
      <c r="K89" s="541"/>
      <c r="L89" s="541"/>
      <c r="M89" s="541"/>
      <c r="N89" s="541"/>
      <c r="O89" s="541"/>
    </row>
    <row r="90" spans="2:15" ht="12.75">
      <c r="B90" s="4" t="s">
        <v>55</v>
      </c>
      <c r="C90" s="763">
        <v>0</v>
      </c>
      <c r="D90" s="763">
        <v>0</v>
      </c>
      <c r="E90" s="763">
        <v>0</v>
      </c>
      <c r="F90" s="763">
        <v>0</v>
      </c>
      <c r="G90" s="763">
        <v>0</v>
      </c>
      <c r="H90" s="763">
        <v>1987</v>
      </c>
      <c r="I90" s="758">
        <v>578962</v>
      </c>
      <c r="J90" s="544"/>
      <c r="K90" s="462"/>
      <c r="L90" s="462"/>
      <c r="M90" s="462"/>
      <c r="N90" s="462"/>
      <c r="O90" s="462"/>
    </row>
    <row r="91" spans="2:15" ht="12.75">
      <c r="B91" s="82" t="s">
        <v>52</v>
      </c>
      <c r="C91" s="764">
        <f>SUM(C89:C90)</f>
        <v>0</v>
      </c>
      <c r="D91" s="764">
        <f aca="true" t="shared" si="13" ref="D91:O91">SUM(D89:D90)</f>
        <v>0</v>
      </c>
      <c r="E91" s="764">
        <f t="shared" si="13"/>
        <v>0</v>
      </c>
      <c r="F91" s="764">
        <f t="shared" si="13"/>
        <v>0</v>
      </c>
      <c r="G91" s="764">
        <f t="shared" si="13"/>
        <v>0</v>
      </c>
      <c r="H91" s="764">
        <f t="shared" si="13"/>
        <v>1987</v>
      </c>
      <c r="I91" s="765">
        <f t="shared" si="13"/>
        <v>578962</v>
      </c>
      <c r="J91" s="348">
        <f t="shared" si="13"/>
        <v>0</v>
      </c>
      <c r="K91" s="341">
        <f t="shared" si="13"/>
        <v>0</v>
      </c>
      <c r="L91" s="341">
        <f t="shared" si="13"/>
        <v>0</v>
      </c>
      <c r="M91" s="341">
        <f t="shared" si="13"/>
        <v>0</v>
      </c>
      <c r="N91" s="341">
        <f t="shared" si="13"/>
        <v>0</v>
      </c>
      <c r="O91" s="341">
        <f t="shared" si="13"/>
        <v>0</v>
      </c>
    </row>
    <row r="92" spans="2:15" ht="12.75">
      <c r="B92" s="2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3:15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2.75">
      <c r="B94" s="117" t="s">
        <v>275</v>
      </c>
      <c r="C94" s="121">
        <v>1998</v>
      </c>
      <c r="D94" s="121">
        <v>1999</v>
      </c>
      <c r="E94" s="121">
        <v>2000</v>
      </c>
      <c r="F94" s="121">
        <v>2001</v>
      </c>
      <c r="G94" s="121">
        <v>2002</v>
      </c>
      <c r="H94" s="121">
        <v>2003</v>
      </c>
      <c r="I94" s="119">
        <v>2004</v>
      </c>
      <c r="J94" s="122">
        <v>2005</v>
      </c>
      <c r="K94" s="121">
        <v>2006</v>
      </c>
      <c r="L94" s="121">
        <v>2007</v>
      </c>
      <c r="M94" s="121">
        <v>2008</v>
      </c>
      <c r="N94" s="121">
        <v>2009</v>
      </c>
      <c r="O94" s="121">
        <v>2010</v>
      </c>
    </row>
    <row r="95" spans="2:15" ht="12.75">
      <c r="B95" s="107" t="s">
        <v>177</v>
      </c>
      <c r="C95" s="320">
        <f>C9</f>
        <v>289114</v>
      </c>
      <c r="D95" s="320">
        <f aca="true" t="shared" si="14" ref="D95:O95">D9</f>
        <v>1107</v>
      </c>
      <c r="E95" s="320">
        <f t="shared" si="14"/>
        <v>824</v>
      </c>
      <c r="F95" s="320">
        <f t="shared" si="14"/>
        <v>744</v>
      </c>
      <c r="G95" s="320">
        <f t="shared" si="14"/>
        <v>1842</v>
      </c>
      <c r="H95" s="320">
        <f t="shared" si="14"/>
        <v>14213</v>
      </c>
      <c r="I95" s="321">
        <f t="shared" si="14"/>
        <v>1156</v>
      </c>
      <c r="J95" s="322">
        <f t="shared" si="14"/>
        <v>0</v>
      </c>
      <c r="K95" s="320">
        <f t="shared" si="14"/>
        <v>0</v>
      </c>
      <c r="L95" s="320">
        <f t="shared" si="14"/>
        <v>0</v>
      </c>
      <c r="M95" s="320">
        <f t="shared" si="14"/>
        <v>0</v>
      </c>
      <c r="N95" s="320">
        <f t="shared" si="14"/>
        <v>0</v>
      </c>
      <c r="O95" s="320">
        <f t="shared" si="14"/>
        <v>0</v>
      </c>
    </row>
    <row r="96" spans="2:15" ht="12.75">
      <c r="B96" s="108" t="s">
        <v>42</v>
      </c>
      <c r="C96" s="323">
        <f>C62+C63</f>
        <v>62235</v>
      </c>
      <c r="D96" s="323">
        <f aca="true" t="shared" si="15" ref="D96:O96">D62+D63</f>
        <v>1103</v>
      </c>
      <c r="E96" s="323">
        <f t="shared" si="15"/>
        <v>328</v>
      </c>
      <c r="F96" s="323">
        <f t="shared" si="15"/>
        <v>1919</v>
      </c>
      <c r="G96" s="323">
        <f t="shared" si="15"/>
        <v>789</v>
      </c>
      <c r="H96" s="323">
        <f t="shared" si="15"/>
        <v>278</v>
      </c>
      <c r="I96" s="324">
        <f t="shared" si="15"/>
        <v>1176</v>
      </c>
      <c r="J96" s="325">
        <f t="shared" si="15"/>
        <v>0</v>
      </c>
      <c r="K96" s="323">
        <f t="shared" si="15"/>
        <v>0</v>
      </c>
      <c r="L96" s="323">
        <f t="shared" si="15"/>
        <v>0</v>
      </c>
      <c r="M96" s="323">
        <f t="shared" si="15"/>
        <v>0</v>
      </c>
      <c r="N96" s="323">
        <f t="shared" si="15"/>
        <v>0</v>
      </c>
      <c r="O96" s="323">
        <f t="shared" si="15"/>
        <v>0</v>
      </c>
    </row>
    <row r="97" spans="2:15" ht="12.75">
      <c r="B97" s="108" t="s">
        <v>50</v>
      </c>
      <c r="C97" s="323">
        <f>C75</f>
        <v>198</v>
      </c>
      <c r="D97" s="323">
        <f aca="true" t="shared" si="16" ref="D97:O97">D75</f>
        <v>681</v>
      </c>
      <c r="E97" s="323">
        <f t="shared" si="16"/>
        <v>6743</v>
      </c>
      <c r="F97" s="323">
        <f t="shared" si="16"/>
        <v>13874</v>
      </c>
      <c r="G97" s="323">
        <f t="shared" si="16"/>
        <v>5624</v>
      </c>
      <c r="H97" s="323">
        <f t="shared" si="16"/>
        <v>1423</v>
      </c>
      <c r="I97" s="324">
        <f t="shared" si="16"/>
        <v>206</v>
      </c>
      <c r="J97" s="325">
        <f t="shared" si="16"/>
        <v>0</v>
      </c>
      <c r="K97" s="323">
        <f t="shared" si="16"/>
        <v>0</v>
      </c>
      <c r="L97" s="323">
        <f t="shared" si="16"/>
        <v>0</v>
      </c>
      <c r="M97" s="323">
        <f t="shared" si="16"/>
        <v>0</v>
      </c>
      <c r="N97" s="323">
        <f t="shared" si="16"/>
        <v>0</v>
      </c>
      <c r="O97" s="323">
        <f t="shared" si="16"/>
        <v>0</v>
      </c>
    </row>
    <row r="98" spans="2:15" ht="12.75">
      <c r="B98" s="108" t="s">
        <v>179</v>
      </c>
      <c r="C98" s="323">
        <f>C87</f>
        <v>69132</v>
      </c>
      <c r="D98" s="323">
        <f aca="true" t="shared" si="17" ref="D98:O98">D87</f>
        <v>91538</v>
      </c>
      <c r="E98" s="323">
        <f t="shared" si="17"/>
        <v>174198</v>
      </c>
      <c r="F98" s="323">
        <f t="shared" si="17"/>
        <v>972327</v>
      </c>
      <c r="G98" s="323">
        <f t="shared" si="17"/>
        <v>717911</v>
      </c>
      <c r="H98" s="323">
        <f t="shared" si="17"/>
        <v>812050</v>
      </c>
      <c r="I98" s="324">
        <f t="shared" si="17"/>
        <v>357865</v>
      </c>
      <c r="J98" s="325">
        <f t="shared" si="17"/>
        <v>0</v>
      </c>
      <c r="K98" s="323">
        <f t="shared" si="17"/>
        <v>0</v>
      </c>
      <c r="L98" s="323">
        <f t="shared" si="17"/>
        <v>0</v>
      </c>
      <c r="M98" s="323">
        <f t="shared" si="17"/>
        <v>0</v>
      </c>
      <c r="N98" s="323">
        <f t="shared" si="17"/>
        <v>0</v>
      </c>
      <c r="O98" s="323">
        <f t="shared" si="17"/>
        <v>0</v>
      </c>
    </row>
    <row r="99" spans="2:15" ht="12.75">
      <c r="B99" s="108" t="s">
        <v>180</v>
      </c>
      <c r="C99" s="323">
        <f>C53</f>
        <v>195675.5</v>
      </c>
      <c r="D99" s="323">
        <f aca="true" t="shared" si="18" ref="D99:O99">D53</f>
        <v>1972.5</v>
      </c>
      <c r="E99" s="323">
        <f t="shared" si="18"/>
        <v>717.5</v>
      </c>
      <c r="F99" s="323">
        <f t="shared" si="18"/>
        <v>1106.5</v>
      </c>
      <c r="G99" s="323">
        <f t="shared" si="18"/>
        <v>2260.5</v>
      </c>
      <c r="H99" s="323">
        <f t="shared" si="18"/>
        <v>6924.5</v>
      </c>
      <c r="I99" s="324">
        <f t="shared" si="18"/>
        <v>9593.5</v>
      </c>
      <c r="J99" s="325">
        <f t="shared" si="18"/>
        <v>0</v>
      </c>
      <c r="K99" s="323">
        <f t="shared" si="18"/>
        <v>0</v>
      </c>
      <c r="L99" s="323">
        <f t="shared" si="18"/>
        <v>0</v>
      </c>
      <c r="M99" s="323">
        <f t="shared" si="18"/>
        <v>0</v>
      </c>
      <c r="N99" s="323">
        <f t="shared" si="18"/>
        <v>0</v>
      </c>
      <c r="O99" s="323">
        <f t="shared" si="18"/>
        <v>0</v>
      </c>
    </row>
    <row r="100" spans="2:15" ht="12.75">
      <c r="B100" s="109" t="s">
        <v>181</v>
      </c>
      <c r="C100" s="326">
        <f>SUM(C95:C98)-C99</f>
        <v>225003.5</v>
      </c>
      <c r="D100" s="326">
        <f aca="true" t="shared" si="19" ref="D100:O100">SUM(D95:D98)-D99</f>
        <v>92456.5</v>
      </c>
      <c r="E100" s="326">
        <f t="shared" si="19"/>
        <v>181375.5</v>
      </c>
      <c r="F100" s="326">
        <f t="shared" si="19"/>
        <v>987757.5</v>
      </c>
      <c r="G100" s="326">
        <f t="shared" si="19"/>
        <v>723905.5</v>
      </c>
      <c r="H100" s="326">
        <f t="shared" si="19"/>
        <v>821039.5</v>
      </c>
      <c r="I100" s="327">
        <f t="shared" si="19"/>
        <v>350809.5</v>
      </c>
      <c r="J100" s="328">
        <f t="shared" si="19"/>
        <v>0</v>
      </c>
      <c r="K100" s="326">
        <f t="shared" si="19"/>
        <v>0</v>
      </c>
      <c r="L100" s="326">
        <f t="shared" si="19"/>
        <v>0</v>
      </c>
      <c r="M100" s="326">
        <f t="shared" si="19"/>
        <v>0</v>
      </c>
      <c r="N100" s="326">
        <f t="shared" si="19"/>
        <v>0</v>
      </c>
      <c r="O100" s="326">
        <f t="shared" si="19"/>
        <v>0</v>
      </c>
    </row>
    <row r="101" spans="2:15" ht="12.75">
      <c r="B101" s="106" t="s">
        <v>178</v>
      </c>
      <c r="C101" s="329">
        <f>C13</f>
        <v>0</v>
      </c>
      <c r="D101" s="329">
        <f aca="true" t="shared" si="20" ref="D101:O101">D13</f>
        <v>11424</v>
      </c>
      <c r="E101" s="329">
        <f t="shared" si="20"/>
        <v>11119</v>
      </c>
      <c r="F101" s="329">
        <f t="shared" si="20"/>
        <v>7110</v>
      </c>
      <c r="G101" s="329">
        <f t="shared" si="20"/>
        <v>69931</v>
      </c>
      <c r="H101" s="329">
        <f t="shared" si="20"/>
        <v>3100</v>
      </c>
      <c r="I101" s="330">
        <f t="shared" si="20"/>
        <v>2577</v>
      </c>
      <c r="J101" s="331">
        <f t="shared" si="20"/>
        <v>0</v>
      </c>
      <c r="K101" s="329">
        <f t="shared" si="20"/>
        <v>0</v>
      </c>
      <c r="L101" s="329">
        <f t="shared" si="20"/>
        <v>0</v>
      </c>
      <c r="M101" s="329">
        <f t="shared" si="20"/>
        <v>0</v>
      </c>
      <c r="N101" s="329">
        <f t="shared" si="20"/>
        <v>0</v>
      </c>
      <c r="O101" s="329">
        <f t="shared" si="20"/>
        <v>0</v>
      </c>
    </row>
    <row r="102" spans="2:15" ht="12.75">
      <c r="B102" s="108" t="s">
        <v>42</v>
      </c>
      <c r="C102" s="323">
        <f>C67</f>
        <v>55</v>
      </c>
      <c r="D102" s="323">
        <f aca="true" t="shared" si="21" ref="D102:O102">D67</f>
        <v>28</v>
      </c>
      <c r="E102" s="323">
        <f t="shared" si="21"/>
        <v>23</v>
      </c>
      <c r="F102" s="323">
        <f t="shared" si="21"/>
        <v>46</v>
      </c>
      <c r="G102" s="323">
        <f t="shared" si="21"/>
        <v>631</v>
      </c>
      <c r="H102" s="323">
        <f t="shared" si="21"/>
        <v>251</v>
      </c>
      <c r="I102" s="324">
        <f t="shared" si="21"/>
        <v>54</v>
      </c>
      <c r="J102" s="325">
        <f t="shared" si="21"/>
        <v>0</v>
      </c>
      <c r="K102" s="323">
        <f t="shared" si="21"/>
        <v>0</v>
      </c>
      <c r="L102" s="323">
        <f t="shared" si="21"/>
        <v>0</v>
      </c>
      <c r="M102" s="323">
        <f t="shared" si="21"/>
        <v>0</v>
      </c>
      <c r="N102" s="323">
        <f t="shared" si="21"/>
        <v>0</v>
      </c>
      <c r="O102" s="323">
        <f t="shared" si="21"/>
        <v>0</v>
      </c>
    </row>
    <row r="103" spans="2:15" ht="12.75">
      <c r="B103" s="108" t="s">
        <v>50</v>
      </c>
      <c r="C103" s="323">
        <f>C79</f>
        <v>0</v>
      </c>
      <c r="D103" s="323">
        <f aca="true" t="shared" si="22" ref="D103:O103">D79</f>
        <v>0</v>
      </c>
      <c r="E103" s="323">
        <f t="shared" si="22"/>
        <v>1408</v>
      </c>
      <c r="F103" s="323">
        <f t="shared" si="22"/>
        <v>2658</v>
      </c>
      <c r="G103" s="323">
        <f t="shared" si="22"/>
        <v>0</v>
      </c>
      <c r="H103" s="323">
        <f t="shared" si="22"/>
        <v>154</v>
      </c>
      <c r="I103" s="324">
        <f t="shared" si="22"/>
        <v>0</v>
      </c>
      <c r="J103" s="325">
        <f t="shared" si="22"/>
        <v>0</v>
      </c>
      <c r="K103" s="323">
        <f t="shared" si="22"/>
        <v>0</v>
      </c>
      <c r="L103" s="323">
        <f t="shared" si="22"/>
        <v>0</v>
      </c>
      <c r="M103" s="323">
        <f t="shared" si="22"/>
        <v>0</v>
      </c>
      <c r="N103" s="323">
        <f t="shared" si="22"/>
        <v>0</v>
      </c>
      <c r="O103" s="323">
        <f t="shared" si="22"/>
        <v>0</v>
      </c>
    </row>
    <row r="104" spans="2:15" ht="12.75">
      <c r="B104" s="108" t="s">
        <v>179</v>
      </c>
      <c r="C104" s="323">
        <f>C91</f>
        <v>0</v>
      </c>
      <c r="D104" s="323">
        <f aca="true" t="shared" si="23" ref="D104:O104">D91</f>
        <v>0</v>
      </c>
      <c r="E104" s="323">
        <f t="shared" si="23"/>
        <v>0</v>
      </c>
      <c r="F104" s="323">
        <f t="shared" si="23"/>
        <v>0</v>
      </c>
      <c r="G104" s="323">
        <f t="shared" si="23"/>
        <v>0</v>
      </c>
      <c r="H104" s="323">
        <f t="shared" si="23"/>
        <v>1987</v>
      </c>
      <c r="I104" s="324">
        <f t="shared" si="23"/>
        <v>578962</v>
      </c>
      <c r="J104" s="325">
        <f t="shared" si="23"/>
        <v>0</v>
      </c>
      <c r="K104" s="323">
        <f t="shared" si="23"/>
        <v>0</v>
      </c>
      <c r="L104" s="323">
        <f t="shared" si="23"/>
        <v>0</v>
      </c>
      <c r="M104" s="323">
        <f t="shared" si="23"/>
        <v>0</v>
      </c>
      <c r="N104" s="323">
        <f t="shared" si="23"/>
        <v>0</v>
      </c>
      <c r="O104" s="323">
        <f t="shared" si="23"/>
        <v>0</v>
      </c>
    </row>
    <row r="105" spans="2:15" ht="12.75">
      <c r="B105" s="108" t="s">
        <v>180</v>
      </c>
      <c r="C105" s="323">
        <f>C54</f>
        <v>0</v>
      </c>
      <c r="D105" s="323">
        <f aca="true" t="shared" si="24" ref="D105:O105">D54</f>
        <v>56076</v>
      </c>
      <c r="E105" s="323">
        <f t="shared" si="24"/>
        <v>91782</v>
      </c>
      <c r="F105" s="323">
        <f t="shared" si="24"/>
        <v>105315</v>
      </c>
      <c r="G105" s="323">
        <f t="shared" si="24"/>
        <v>11279</v>
      </c>
      <c r="H105" s="323">
        <f t="shared" si="24"/>
        <v>121701</v>
      </c>
      <c r="I105" s="324">
        <f t="shared" si="24"/>
        <v>114706</v>
      </c>
      <c r="J105" s="325">
        <f t="shared" si="24"/>
        <v>0</v>
      </c>
      <c r="K105" s="323">
        <f t="shared" si="24"/>
        <v>0</v>
      </c>
      <c r="L105" s="323">
        <f t="shared" si="24"/>
        <v>0</v>
      </c>
      <c r="M105" s="323">
        <f t="shared" si="24"/>
        <v>0</v>
      </c>
      <c r="N105" s="323">
        <f t="shared" si="24"/>
        <v>0</v>
      </c>
      <c r="O105" s="323">
        <f t="shared" si="24"/>
        <v>0</v>
      </c>
    </row>
    <row r="106" spans="2:15" ht="12.75">
      <c r="B106" s="110" t="s">
        <v>182</v>
      </c>
      <c r="C106" s="326">
        <f>SUM(C101:C104)-C105</f>
        <v>55</v>
      </c>
      <c r="D106" s="326">
        <f aca="true" t="shared" si="25" ref="D106:O106">SUM(D101:D104)-D105</f>
        <v>-44624</v>
      </c>
      <c r="E106" s="326">
        <f t="shared" si="25"/>
        <v>-79232</v>
      </c>
      <c r="F106" s="326">
        <f t="shared" si="25"/>
        <v>-95501</v>
      </c>
      <c r="G106" s="326">
        <f t="shared" si="25"/>
        <v>59283</v>
      </c>
      <c r="H106" s="326">
        <f t="shared" si="25"/>
        <v>-116209</v>
      </c>
      <c r="I106" s="327">
        <f t="shared" si="25"/>
        <v>466887</v>
      </c>
      <c r="J106" s="328">
        <f t="shared" si="25"/>
        <v>0</v>
      </c>
      <c r="K106" s="326">
        <f t="shared" si="25"/>
        <v>0</v>
      </c>
      <c r="L106" s="326">
        <f t="shared" si="25"/>
        <v>0</v>
      </c>
      <c r="M106" s="326">
        <f t="shared" si="25"/>
        <v>0</v>
      </c>
      <c r="N106" s="326">
        <f t="shared" si="25"/>
        <v>0</v>
      </c>
      <c r="O106" s="326">
        <f t="shared" si="25"/>
        <v>0</v>
      </c>
    </row>
    <row r="107" spans="1:15" ht="12.75">
      <c r="A107" s="230">
        <v>0</v>
      </c>
      <c r="B107" s="111" t="s">
        <v>44</v>
      </c>
      <c r="C107" s="332">
        <f>IF($A$107=1,C19-C23,0)</f>
        <v>0</v>
      </c>
      <c r="D107" s="332">
        <f aca="true" t="shared" si="26" ref="D107:O107">IF($A$107=1,D19-D23,0)</f>
        <v>0</v>
      </c>
      <c r="E107" s="332">
        <f t="shared" si="26"/>
        <v>0</v>
      </c>
      <c r="F107" s="332">
        <f t="shared" si="26"/>
        <v>0</v>
      </c>
      <c r="G107" s="332">
        <f t="shared" si="26"/>
        <v>0</v>
      </c>
      <c r="H107" s="332">
        <f t="shared" si="26"/>
        <v>0</v>
      </c>
      <c r="I107" s="333">
        <f t="shared" si="26"/>
        <v>0</v>
      </c>
      <c r="J107" s="334">
        <f t="shared" si="26"/>
        <v>0</v>
      </c>
      <c r="K107" s="332">
        <f t="shared" si="26"/>
        <v>0</v>
      </c>
      <c r="L107" s="332">
        <f t="shared" si="26"/>
        <v>0</v>
      </c>
      <c r="M107" s="332">
        <f t="shared" si="26"/>
        <v>0</v>
      </c>
      <c r="N107" s="332">
        <f t="shared" si="26"/>
        <v>0</v>
      </c>
      <c r="O107" s="332">
        <f t="shared" si="26"/>
        <v>0</v>
      </c>
    </row>
    <row r="108" spans="2:15" ht="12.75">
      <c r="B108" s="110" t="s">
        <v>183</v>
      </c>
      <c r="C108" s="326">
        <f>IF(A107=1,C107-(1743.6-1876.1),0)</f>
        <v>0</v>
      </c>
      <c r="D108" s="326">
        <f>D107-C107</f>
        <v>0</v>
      </c>
      <c r="E108" s="326">
        <f aca="true" t="shared" si="27" ref="E108:O108">E107-D107</f>
        <v>0</v>
      </c>
      <c r="F108" s="326">
        <f t="shared" si="27"/>
        <v>0</v>
      </c>
      <c r="G108" s="326">
        <f t="shared" si="27"/>
        <v>0</v>
      </c>
      <c r="H108" s="326">
        <f t="shared" si="27"/>
        <v>0</v>
      </c>
      <c r="I108" s="327">
        <f t="shared" si="27"/>
        <v>0</v>
      </c>
      <c r="J108" s="328">
        <f t="shared" si="27"/>
        <v>0</v>
      </c>
      <c r="K108" s="326">
        <f t="shared" si="27"/>
        <v>0</v>
      </c>
      <c r="L108" s="326">
        <f t="shared" si="27"/>
        <v>0</v>
      </c>
      <c r="M108" s="326">
        <f t="shared" si="27"/>
        <v>0</v>
      </c>
      <c r="N108" s="326">
        <f t="shared" si="27"/>
        <v>0</v>
      </c>
      <c r="O108" s="326">
        <f t="shared" si="27"/>
        <v>0</v>
      </c>
    </row>
  </sheetData>
  <printOptions/>
  <pageMargins left="0.75" right="0.75" top="1" bottom="1" header="0.4921259845" footer="0.4921259845"/>
  <pageSetup fitToHeight="2" fitToWidth="2" horizontalDpi="600" verticalDpi="600" orientation="landscape" paperSize="9" scale="66" r:id="rId1"/>
  <rowBreaks count="1" manualBreakCount="1">
    <brk id="54" max="255" man="1"/>
  </rowBreaks>
  <ignoredErrors>
    <ignoredError sqref="J13:O13 E9:I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zoomScale="85" zoomScaleNormal="85" workbookViewId="0" topLeftCell="A1">
      <pane xSplit="2" ySplit="3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3" sqref="C73"/>
    </sheetView>
  </sheetViews>
  <sheetFormatPr defaultColWidth="9.140625" defaultRowHeight="12.75"/>
  <cols>
    <col min="1" max="1" width="3.7109375" style="42" customWidth="1"/>
    <col min="2" max="2" width="45.7109375" style="42" customWidth="1"/>
    <col min="3" max="15" width="9.28125" style="42" customWidth="1"/>
    <col min="16" max="16384" width="11.421875" style="42" customWidth="1"/>
  </cols>
  <sheetData>
    <row r="1" ht="27" customHeight="1">
      <c r="B1" s="264" t="s">
        <v>291</v>
      </c>
    </row>
    <row r="3" spans="2:15" ht="12.75">
      <c r="B3" s="117" t="s">
        <v>43</v>
      </c>
      <c r="C3" s="131">
        <v>1998</v>
      </c>
      <c r="D3" s="131">
        <v>1999</v>
      </c>
      <c r="E3" s="131">
        <v>2000</v>
      </c>
      <c r="F3" s="131">
        <v>2001</v>
      </c>
      <c r="G3" s="131">
        <v>2002</v>
      </c>
      <c r="H3" s="131">
        <v>2003</v>
      </c>
      <c r="I3" s="130">
        <v>2004</v>
      </c>
      <c r="J3" s="132">
        <v>2005</v>
      </c>
      <c r="K3" s="131">
        <v>2006</v>
      </c>
      <c r="L3" s="131">
        <v>2007</v>
      </c>
      <c r="M3" s="131">
        <v>2008</v>
      </c>
      <c r="N3" s="131">
        <v>2009</v>
      </c>
      <c r="O3" s="131">
        <v>2010</v>
      </c>
    </row>
    <row r="4" spans="2:15" ht="12.75">
      <c r="B4" s="34" t="s">
        <v>35</v>
      </c>
      <c r="C4" s="499">
        <f>'Capital Input Data'!C57</f>
        <v>2547</v>
      </c>
      <c r="D4" s="499">
        <f>'Capital Input Data'!D57</f>
        <v>215</v>
      </c>
      <c r="E4" s="499">
        <f>'Capital Input Data'!E57</f>
        <v>11</v>
      </c>
      <c r="F4" s="499">
        <f>'Capital Input Data'!F57</f>
        <v>864</v>
      </c>
      <c r="G4" s="499">
        <f>'Capital Input Data'!G57</f>
        <v>44</v>
      </c>
      <c r="H4" s="499">
        <f>'Capital Input Data'!H57</f>
        <v>25</v>
      </c>
      <c r="I4" s="500">
        <f>'Capital Input Data'!I57</f>
        <v>51</v>
      </c>
      <c r="J4" s="501">
        <f>'Capital Input Data'!J57</f>
        <v>0</v>
      </c>
      <c r="K4" s="499">
        <f>'Capital Input Data'!K57</f>
        <v>0</v>
      </c>
      <c r="L4" s="499">
        <f>'Capital Input Data'!L57</f>
        <v>0</v>
      </c>
      <c r="M4" s="499">
        <f>'Capital Input Data'!M57</f>
        <v>0</v>
      </c>
      <c r="N4" s="499">
        <f>'Capital Input Data'!N57</f>
        <v>0</v>
      </c>
      <c r="O4" s="499">
        <f>'Capital Input Data'!O57</f>
        <v>0</v>
      </c>
    </row>
    <row r="5" spans="2:15" ht="12.75">
      <c r="B5" s="3" t="s">
        <v>36</v>
      </c>
      <c r="C5" s="338">
        <f>'Capital Input Data'!C58</f>
        <v>54556</v>
      </c>
      <c r="D5" s="338">
        <f>'Capital Input Data'!D58</f>
        <v>0</v>
      </c>
      <c r="E5" s="338">
        <f>'Capital Input Data'!E58</f>
        <v>0</v>
      </c>
      <c r="F5" s="338">
        <f>'Capital Input Data'!F58</f>
        <v>0</v>
      </c>
      <c r="G5" s="338">
        <f>'Capital Input Data'!G58</f>
        <v>0</v>
      </c>
      <c r="H5" s="338">
        <f>'Capital Input Data'!H58</f>
        <v>14</v>
      </c>
      <c r="I5" s="502">
        <f>'Capital Input Data'!I58</f>
        <v>24</v>
      </c>
      <c r="J5" s="503">
        <f>'Capital Input Data'!J58</f>
        <v>0</v>
      </c>
      <c r="K5" s="338">
        <f>'Capital Input Data'!K58</f>
        <v>0</v>
      </c>
      <c r="L5" s="338">
        <f>'Capital Input Data'!L58</f>
        <v>0</v>
      </c>
      <c r="M5" s="338">
        <f>'Capital Input Data'!M58</f>
        <v>0</v>
      </c>
      <c r="N5" s="338">
        <f>'Capital Input Data'!N58</f>
        <v>0</v>
      </c>
      <c r="O5" s="338">
        <f>'Capital Input Data'!O58</f>
        <v>0</v>
      </c>
    </row>
    <row r="6" spans="2:15" ht="12.75">
      <c r="B6" s="3" t="s">
        <v>37</v>
      </c>
      <c r="C6" s="338">
        <f>'Capital Input Data'!C59</f>
        <v>66</v>
      </c>
      <c r="D6" s="338">
        <f>'Capital Input Data'!D59</f>
        <v>0</v>
      </c>
      <c r="E6" s="338">
        <f>'Capital Input Data'!E59</f>
        <v>0</v>
      </c>
      <c r="F6" s="338">
        <f>'Capital Input Data'!F59</f>
        <v>254</v>
      </c>
      <c r="G6" s="338">
        <f>'Capital Input Data'!G59</f>
        <v>19</v>
      </c>
      <c r="H6" s="338">
        <f>'Capital Input Data'!H59</f>
        <v>0</v>
      </c>
      <c r="I6" s="502">
        <f>'Capital Input Data'!I59</f>
        <v>13</v>
      </c>
      <c r="J6" s="503">
        <f>'Capital Input Data'!J59</f>
        <v>0</v>
      </c>
      <c r="K6" s="338">
        <f>'Capital Input Data'!K59</f>
        <v>0</v>
      </c>
      <c r="L6" s="338">
        <f>'Capital Input Data'!L59</f>
        <v>0</v>
      </c>
      <c r="M6" s="338">
        <f>'Capital Input Data'!M59</f>
        <v>0</v>
      </c>
      <c r="N6" s="338">
        <f>'Capital Input Data'!N59</f>
        <v>0</v>
      </c>
      <c r="O6" s="338">
        <f>'Capital Input Data'!O59</f>
        <v>0</v>
      </c>
    </row>
    <row r="7" spans="2:15" ht="12.75">
      <c r="B7" s="3" t="s">
        <v>38</v>
      </c>
      <c r="C7" s="338">
        <f>'Capital Input Data'!C60</f>
        <v>24</v>
      </c>
      <c r="D7" s="338">
        <f>'Capital Input Data'!D60</f>
        <v>564</v>
      </c>
      <c r="E7" s="338">
        <f>'Capital Input Data'!E60</f>
        <v>45</v>
      </c>
      <c r="F7" s="338">
        <f>'Capital Input Data'!F60</f>
        <v>152</v>
      </c>
      <c r="G7" s="338">
        <f>'Capital Input Data'!G60</f>
        <v>541</v>
      </c>
      <c r="H7" s="338">
        <f>'Capital Input Data'!H60</f>
        <v>24</v>
      </c>
      <c r="I7" s="502">
        <f>'Capital Input Data'!I60</f>
        <v>544</v>
      </c>
      <c r="J7" s="503">
        <f>'Capital Input Data'!J60</f>
        <v>0</v>
      </c>
      <c r="K7" s="338">
        <f>'Capital Input Data'!K60</f>
        <v>0</v>
      </c>
      <c r="L7" s="338">
        <f>'Capital Input Data'!L60</f>
        <v>0</v>
      </c>
      <c r="M7" s="338">
        <f>'Capital Input Data'!M60</f>
        <v>0</v>
      </c>
      <c r="N7" s="338">
        <f>'Capital Input Data'!N60</f>
        <v>0</v>
      </c>
      <c r="O7" s="338">
        <f>'Capital Input Data'!O60</f>
        <v>0</v>
      </c>
    </row>
    <row r="8" spans="2:15" ht="12.75">
      <c r="B8" s="3" t="s">
        <v>39</v>
      </c>
      <c r="C8" s="338">
        <f>'Capital Input Data'!C61</f>
        <v>4598</v>
      </c>
      <c r="D8" s="338">
        <f>'Capital Input Data'!D61</f>
        <v>258</v>
      </c>
      <c r="E8" s="338">
        <f>'Capital Input Data'!E61</f>
        <v>257</v>
      </c>
      <c r="F8" s="338">
        <f>'Capital Input Data'!F61</f>
        <v>649</v>
      </c>
      <c r="G8" s="338">
        <f>'Capital Input Data'!G61</f>
        <v>185</v>
      </c>
      <c r="H8" s="338">
        <f>'Capital Input Data'!H61</f>
        <v>215</v>
      </c>
      <c r="I8" s="502">
        <f>'Capital Input Data'!I61</f>
        <v>544</v>
      </c>
      <c r="J8" s="503">
        <f>'Capital Input Data'!J61</f>
        <v>0</v>
      </c>
      <c r="K8" s="338">
        <f>'Capital Input Data'!K61</f>
        <v>0</v>
      </c>
      <c r="L8" s="338">
        <f>'Capital Input Data'!L61</f>
        <v>0</v>
      </c>
      <c r="M8" s="338">
        <f>'Capital Input Data'!M61</f>
        <v>0</v>
      </c>
      <c r="N8" s="338">
        <f>'Capital Input Data'!N61</f>
        <v>0</v>
      </c>
      <c r="O8" s="338">
        <f>'Capital Input Data'!O61</f>
        <v>0</v>
      </c>
    </row>
    <row r="9" spans="2:15" ht="12.75">
      <c r="B9" s="4" t="s">
        <v>144</v>
      </c>
      <c r="C9" s="343">
        <f>'Capital Input Data'!C63</f>
        <v>444</v>
      </c>
      <c r="D9" s="372">
        <f>'Capital Input Data'!D63</f>
        <v>66</v>
      </c>
      <c r="E9" s="372">
        <f>'Capital Input Data'!E63</f>
        <v>15</v>
      </c>
      <c r="F9" s="372">
        <f>'Capital Input Data'!F63</f>
        <v>0</v>
      </c>
      <c r="G9" s="372">
        <f>'Capital Input Data'!G63</f>
        <v>0</v>
      </c>
      <c r="H9" s="372">
        <f>'Capital Input Data'!H63</f>
        <v>0</v>
      </c>
      <c r="I9" s="504">
        <f>'Capital Input Data'!I63</f>
        <v>0</v>
      </c>
      <c r="J9" s="505">
        <f>'Capital Input Data'!J63</f>
        <v>0</v>
      </c>
      <c r="K9" s="372">
        <f>'Capital Input Data'!K63</f>
        <v>0</v>
      </c>
      <c r="L9" s="372">
        <f>'Capital Input Data'!L63</f>
        <v>0</v>
      </c>
      <c r="M9" s="372">
        <f>'Capital Input Data'!M63</f>
        <v>0</v>
      </c>
      <c r="N9" s="372">
        <f>'Capital Input Data'!N63</f>
        <v>0</v>
      </c>
      <c r="O9" s="372">
        <f>'Capital Input Data'!O63</f>
        <v>0</v>
      </c>
    </row>
    <row r="10" spans="2:15" ht="12.75">
      <c r="B10" s="83" t="s">
        <v>34</v>
      </c>
      <c r="C10" s="506">
        <f>SUM(C4:C9)</f>
        <v>62235</v>
      </c>
      <c r="D10" s="506">
        <f aca="true" t="shared" si="0" ref="D10:O10">SUM(D4:D9)</f>
        <v>1103</v>
      </c>
      <c r="E10" s="506">
        <f t="shared" si="0"/>
        <v>328</v>
      </c>
      <c r="F10" s="506">
        <f t="shared" si="0"/>
        <v>1919</v>
      </c>
      <c r="G10" s="506">
        <f t="shared" si="0"/>
        <v>789</v>
      </c>
      <c r="H10" s="506">
        <f t="shared" si="0"/>
        <v>278</v>
      </c>
      <c r="I10" s="507">
        <f t="shared" si="0"/>
        <v>1176</v>
      </c>
      <c r="J10" s="508">
        <f t="shared" si="0"/>
        <v>0</v>
      </c>
      <c r="K10" s="506">
        <f t="shared" si="0"/>
        <v>0</v>
      </c>
      <c r="L10" s="506">
        <f t="shared" si="0"/>
        <v>0</v>
      </c>
      <c r="M10" s="506">
        <f t="shared" si="0"/>
        <v>0</v>
      </c>
      <c r="N10" s="506">
        <f t="shared" si="0"/>
        <v>0</v>
      </c>
      <c r="O10" s="506">
        <f t="shared" si="0"/>
        <v>0</v>
      </c>
    </row>
    <row r="11" spans="2:15" ht="12.75">
      <c r="B11" s="205" t="s">
        <v>156</v>
      </c>
      <c r="C11" s="499"/>
      <c r="D11" s="499"/>
      <c r="E11" s="499"/>
      <c r="F11" s="499"/>
      <c r="G11" s="499"/>
      <c r="H11" s="499"/>
      <c r="I11" s="500"/>
      <c r="J11" s="501"/>
      <c r="K11" s="499"/>
      <c r="L11" s="499"/>
      <c r="M11" s="499"/>
      <c r="N11" s="499"/>
      <c r="O11" s="499"/>
    </row>
    <row r="12" spans="2:15" ht="12.75">
      <c r="B12" s="30" t="s">
        <v>47</v>
      </c>
      <c r="C12" s="338">
        <f>'Capital Input Data'!C65</f>
        <v>55</v>
      </c>
      <c r="D12" s="338">
        <f>'Capital Input Data'!D65</f>
        <v>11</v>
      </c>
      <c r="E12" s="338">
        <f>'Capital Input Data'!E65</f>
        <v>0</v>
      </c>
      <c r="F12" s="338">
        <f>'Capital Input Data'!F65</f>
        <v>24</v>
      </c>
      <c r="G12" s="338">
        <f>'Capital Input Data'!G65</f>
        <v>87</v>
      </c>
      <c r="H12" s="338">
        <f>'Capital Input Data'!H65</f>
        <v>97</v>
      </c>
      <c r="I12" s="502">
        <f>'Capital Input Data'!I65</f>
        <v>0</v>
      </c>
      <c r="J12" s="503">
        <f>'Capital Input Data'!J65</f>
        <v>0</v>
      </c>
      <c r="K12" s="338">
        <f>'Capital Input Data'!K65</f>
        <v>0</v>
      </c>
      <c r="L12" s="338">
        <f>'Capital Input Data'!L65</f>
        <v>0</v>
      </c>
      <c r="M12" s="338">
        <f>'Capital Input Data'!M65</f>
        <v>0</v>
      </c>
      <c r="N12" s="338">
        <f>'Capital Input Data'!N65</f>
        <v>0</v>
      </c>
      <c r="O12" s="338">
        <f>'Capital Input Data'!O65</f>
        <v>0</v>
      </c>
    </row>
    <row r="13" spans="2:15" ht="12.75">
      <c r="B13" s="4" t="s">
        <v>55</v>
      </c>
      <c r="C13" s="338">
        <f>'Capital Input Data'!C66</f>
        <v>0</v>
      </c>
      <c r="D13" s="338">
        <f>'Capital Input Data'!D66</f>
        <v>17</v>
      </c>
      <c r="E13" s="338">
        <f>'Capital Input Data'!E66</f>
        <v>23</v>
      </c>
      <c r="F13" s="338">
        <f>'Capital Input Data'!F66</f>
        <v>22</v>
      </c>
      <c r="G13" s="338">
        <f>'Capital Input Data'!G66</f>
        <v>544</v>
      </c>
      <c r="H13" s="338">
        <f>'Capital Input Data'!H66</f>
        <v>154</v>
      </c>
      <c r="I13" s="502">
        <f>'Capital Input Data'!I66</f>
        <v>54</v>
      </c>
      <c r="J13" s="503">
        <f>'Capital Input Data'!J66</f>
        <v>0</v>
      </c>
      <c r="K13" s="338">
        <f>'Capital Input Data'!K66</f>
        <v>0</v>
      </c>
      <c r="L13" s="338">
        <f>'Capital Input Data'!L66</f>
        <v>0</v>
      </c>
      <c r="M13" s="338">
        <f>'Capital Input Data'!M66</f>
        <v>0</v>
      </c>
      <c r="N13" s="338">
        <f>'Capital Input Data'!N66</f>
        <v>0</v>
      </c>
      <c r="O13" s="338">
        <f>'Capital Input Data'!O66</f>
        <v>0</v>
      </c>
    </row>
    <row r="14" spans="2:15" ht="12.75">
      <c r="B14" s="82" t="s">
        <v>155</v>
      </c>
      <c r="C14" s="506">
        <f>SUM(C12:C13)</f>
        <v>55</v>
      </c>
      <c r="D14" s="506">
        <f aca="true" t="shared" si="1" ref="D14:O14">SUM(D12:D13)</f>
        <v>28</v>
      </c>
      <c r="E14" s="506">
        <f t="shared" si="1"/>
        <v>23</v>
      </c>
      <c r="F14" s="506">
        <f t="shared" si="1"/>
        <v>46</v>
      </c>
      <c r="G14" s="506">
        <f t="shared" si="1"/>
        <v>631</v>
      </c>
      <c r="H14" s="506">
        <f t="shared" si="1"/>
        <v>251</v>
      </c>
      <c r="I14" s="507">
        <f t="shared" si="1"/>
        <v>54</v>
      </c>
      <c r="J14" s="508">
        <f t="shared" si="1"/>
        <v>0</v>
      </c>
      <c r="K14" s="506">
        <f t="shared" si="1"/>
        <v>0</v>
      </c>
      <c r="L14" s="506">
        <f t="shared" si="1"/>
        <v>0</v>
      </c>
      <c r="M14" s="506">
        <f t="shared" si="1"/>
        <v>0</v>
      </c>
      <c r="N14" s="506">
        <f t="shared" si="1"/>
        <v>0</v>
      </c>
      <c r="O14" s="506">
        <f t="shared" si="1"/>
        <v>0</v>
      </c>
    </row>
    <row r="15" spans="2:15" ht="12.75">
      <c r="B15" s="126" t="s">
        <v>44</v>
      </c>
      <c r="C15" s="506">
        <f>'Capital Input Data'!C108</f>
        <v>0</v>
      </c>
      <c r="D15" s="506">
        <f>'Capital Input Data'!D108</f>
        <v>0</v>
      </c>
      <c r="E15" s="506">
        <f>'Capital Input Data'!E108</f>
        <v>0</v>
      </c>
      <c r="F15" s="506">
        <f>'Capital Input Data'!F108</f>
        <v>0</v>
      </c>
      <c r="G15" s="506">
        <f>'Capital Input Data'!G108</f>
        <v>0</v>
      </c>
      <c r="H15" s="506">
        <f>'Capital Input Data'!H108</f>
        <v>0</v>
      </c>
      <c r="I15" s="507">
        <f>'Capital Input Data'!I108</f>
        <v>0</v>
      </c>
      <c r="J15" s="508">
        <f>'Capital Input Data'!J108</f>
        <v>0</v>
      </c>
      <c r="K15" s="506">
        <f>'Capital Input Data'!K108</f>
        <v>0</v>
      </c>
      <c r="L15" s="506">
        <f>'Capital Input Data'!L108</f>
        <v>0</v>
      </c>
      <c r="M15" s="506">
        <f>'Capital Input Data'!M108</f>
        <v>0</v>
      </c>
      <c r="N15" s="506">
        <f>'Capital Input Data'!N108</f>
        <v>0</v>
      </c>
      <c r="O15" s="506">
        <f>'Capital Input Data'!O108</f>
        <v>0</v>
      </c>
    </row>
    <row r="16" spans="2:15" ht="12.75">
      <c r="B16" s="83" t="s">
        <v>190</v>
      </c>
      <c r="C16" s="509">
        <f>C10+C14+C15</f>
        <v>62290</v>
      </c>
      <c r="D16" s="509">
        <f aca="true" t="shared" si="2" ref="D16:O16">D10+D14+D15</f>
        <v>1131</v>
      </c>
      <c r="E16" s="509">
        <f t="shared" si="2"/>
        <v>351</v>
      </c>
      <c r="F16" s="509">
        <f t="shared" si="2"/>
        <v>1965</v>
      </c>
      <c r="G16" s="509">
        <f t="shared" si="2"/>
        <v>1420</v>
      </c>
      <c r="H16" s="509">
        <f t="shared" si="2"/>
        <v>529</v>
      </c>
      <c r="I16" s="510">
        <f t="shared" si="2"/>
        <v>1230</v>
      </c>
      <c r="J16" s="511">
        <f t="shared" si="2"/>
        <v>0</v>
      </c>
      <c r="K16" s="509">
        <f t="shared" si="2"/>
        <v>0</v>
      </c>
      <c r="L16" s="509">
        <f t="shared" si="2"/>
        <v>0</v>
      </c>
      <c r="M16" s="509">
        <f t="shared" si="2"/>
        <v>0</v>
      </c>
      <c r="N16" s="509">
        <f t="shared" si="2"/>
        <v>0</v>
      </c>
      <c r="O16" s="509">
        <f t="shared" si="2"/>
        <v>0</v>
      </c>
    </row>
    <row r="17" spans="2:15" ht="12.75">
      <c r="B17" s="115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2:15" ht="12.75">
      <c r="B18" s="208" t="s">
        <v>157</v>
      </c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</row>
    <row r="19" spans="2:15" ht="12.75">
      <c r="B19" s="34" t="s">
        <v>35</v>
      </c>
      <c r="C19" s="123">
        <f aca="true" t="shared" si="3" ref="C19:O19">C4/C$16</f>
        <v>0.040889388344838656</v>
      </c>
      <c r="D19" s="123">
        <f t="shared" si="3"/>
        <v>0.1900972590627763</v>
      </c>
      <c r="E19" s="123">
        <f t="shared" si="3"/>
        <v>0.03133903133903134</v>
      </c>
      <c r="F19" s="123">
        <f t="shared" si="3"/>
        <v>0.4396946564885496</v>
      </c>
      <c r="G19" s="123">
        <f t="shared" si="3"/>
        <v>0.030985915492957747</v>
      </c>
      <c r="H19" s="123">
        <f t="shared" si="3"/>
        <v>0.04725897920604915</v>
      </c>
      <c r="I19" s="140">
        <f t="shared" si="3"/>
        <v>0.041463414634146344</v>
      </c>
      <c r="J19" s="154" t="e">
        <f t="shared" si="3"/>
        <v>#DIV/0!</v>
      </c>
      <c r="K19" s="155" t="e">
        <f t="shared" si="3"/>
        <v>#DIV/0!</v>
      </c>
      <c r="L19" s="155" t="e">
        <f t="shared" si="3"/>
        <v>#DIV/0!</v>
      </c>
      <c r="M19" s="155" t="e">
        <f t="shared" si="3"/>
        <v>#DIV/0!</v>
      </c>
      <c r="N19" s="155" t="e">
        <f t="shared" si="3"/>
        <v>#DIV/0!</v>
      </c>
      <c r="O19" s="155" t="e">
        <f t="shared" si="3"/>
        <v>#DIV/0!</v>
      </c>
    </row>
    <row r="20" spans="2:15" ht="12.75">
      <c r="B20" s="3" t="s">
        <v>36</v>
      </c>
      <c r="C20" s="9">
        <f aca="true" t="shared" si="4" ref="C20:O24">C5/C$16</f>
        <v>0.8758388184299245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0.026465028355387523</v>
      </c>
      <c r="I20" s="74">
        <f t="shared" si="4"/>
        <v>0.01951219512195122</v>
      </c>
      <c r="J20" s="156" t="e">
        <f t="shared" si="4"/>
        <v>#DIV/0!</v>
      </c>
      <c r="K20" s="157" t="e">
        <f t="shared" si="4"/>
        <v>#DIV/0!</v>
      </c>
      <c r="L20" s="157" t="e">
        <f t="shared" si="4"/>
        <v>#DIV/0!</v>
      </c>
      <c r="M20" s="157" t="e">
        <f t="shared" si="4"/>
        <v>#DIV/0!</v>
      </c>
      <c r="N20" s="157" t="e">
        <f t="shared" si="4"/>
        <v>#DIV/0!</v>
      </c>
      <c r="O20" s="157" t="e">
        <f t="shared" si="4"/>
        <v>#DIV/0!</v>
      </c>
    </row>
    <row r="21" spans="2:15" ht="12.75">
      <c r="B21" s="3" t="s">
        <v>37</v>
      </c>
      <c r="C21" s="9">
        <f t="shared" si="4"/>
        <v>0.0010595601220099535</v>
      </c>
      <c r="D21" s="9">
        <f t="shared" si="4"/>
        <v>0</v>
      </c>
      <c r="E21" s="9">
        <f t="shared" si="4"/>
        <v>0</v>
      </c>
      <c r="F21" s="9">
        <f t="shared" si="4"/>
        <v>0.1292620865139949</v>
      </c>
      <c r="G21" s="9">
        <f t="shared" si="4"/>
        <v>0.013380281690140845</v>
      </c>
      <c r="H21" s="9">
        <f t="shared" si="4"/>
        <v>0</v>
      </c>
      <c r="I21" s="74">
        <f t="shared" si="4"/>
        <v>0.01056910569105691</v>
      </c>
      <c r="J21" s="156" t="e">
        <f t="shared" si="4"/>
        <v>#DIV/0!</v>
      </c>
      <c r="K21" s="157" t="e">
        <f t="shared" si="4"/>
        <v>#DIV/0!</v>
      </c>
      <c r="L21" s="157" t="e">
        <f t="shared" si="4"/>
        <v>#DIV/0!</v>
      </c>
      <c r="M21" s="157" t="e">
        <f t="shared" si="4"/>
        <v>#DIV/0!</v>
      </c>
      <c r="N21" s="157" t="e">
        <f t="shared" si="4"/>
        <v>#DIV/0!</v>
      </c>
      <c r="O21" s="157" t="e">
        <f t="shared" si="4"/>
        <v>#DIV/0!</v>
      </c>
    </row>
    <row r="22" spans="2:15" ht="12.75">
      <c r="B22" s="3" t="s">
        <v>38</v>
      </c>
      <c r="C22" s="9">
        <f t="shared" si="4"/>
        <v>0.00038529458982180126</v>
      </c>
      <c r="D22" s="9">
        <f t="shared" si="4"/>
        <v>0.4986737400530504</v>
      </c>
      <c r="E22" s="9">
        <f t="shared" si="4"/>
        <v>0.1282051282051282</v>
      </c>
      <c r="F22" s="9">
        <f t="shared" si="4"/>
        <v>0.07735368956743002</v>
      </c>
      <c r="G22" s="9">
        <f t="shared" si="4"/>
        <v>0.38098591549295774</v>
      </c>
      <c r="H22" s="9">
        <f t="shared" si="4"/>
        <v>0.045368620037807186</v>
      </c>
      <c r="I22" s="74">
        <f t="shared" si="4"/>
        <v>0.44227642276422763</v>
      </c>
      <c r="J22" s="156" t="e">
        <f t="shared" si="4"/>
        <v>#DIV/0!</v>
      </c>
      <c r="K22" s="157" t="e">
        <f t="shared" si="4"/>
        <v>#DIV/0!</v>
      </c>
      <c r="L22" s="157" t="e">
        <f t="shared" si="4"/>
        <v>#DIV/0!</v>
      </c>
      <c r="M22" s="157" t="e">
        <f t="shared" si="4"/>
        <v>#DIV/0!</v>
      </c>
      <c r="N22" s="157" t="e">
        <f t="shared" si="4"/>
        <v>#DIV/0!</v>
      </c>
      <c r="O22" s="157" t="e">
        <f t="shared" si="4"/>
        <v>#DIV/0!</v>
      </c>
    </row>
    <row r="23" spans="2:15" ht="12.75">
      <c r="B23" s="3" t="s">
        <v>39</v>
      </c>
      <c r="C23" s="9">
        <f t="shared" si="4"/>
        <v>0.07381602183336008</v>
      </c>
      <c r="D23" s="9">
        <f t="shared" si="4"/>
        <v>0.22811671087533156</v>
      </c>
      <c r="E23" s="9">
        <f t="shared" si="4"/>
        <v>0.7321937321937322</v>
      </c>
      <c r="F23" s="9">
        <f t="shared" si="4"/>
        <v>0.3302798982188295</v>
      </c>
      <c r="G23" s="9">
        <f t="shared" si="4"/>
        <v>0.13028169014084506</v>
      </c>
      <c r="H23" s="9">
        <f t="shared" si="4"/>
        <v>0.4064272211720227</v>
      </c>
      <c r="I23" s="74">
        <f t="shared" si="4"/>
        <v>0.44227642276422763</v>
      </c>
      <c r="J23" s="156" t="e">
        <f t="shared" si="4"/>
        <v>#DIV/0!</v>
      </c>
      <c r="K23" s="157" t="e">
        <f t="shared" si="4"/>
        <v>#DIV/0!</v>
      </c>
      <c r="L23" s="157" t="e">
        <f t="shared" si="4"/>
        <v>#DIV/0!</v>
      </c>
      <c r="M23" s="157" t="e">
        <f t="shared" si="4"/>
        <v>#DIV/0!</v>
      </c>
      <c r="N23" s="157" t="e">
        <f t="shared" si="4"/>
        <v>#DIV/0!</v>
      </c>
      <c r="O23" s="157" t="e">
        <f t="shared" si="4"/>
        <v>#DIV/0!</v>
      </c>
    </row>
    <row r="24" spans="2:15" ht="12.75">
      <c r="B24" s="4" t="s">
        <v>144</v>
      </c>
      <c r="C24" s="9">
        <f t="shared" si="4"/>
        <v>0.007127949911703323</v>
      </c>
      <c r="D24" s="9">
        <f t="shared" si="4"/>
        <v>0.058355437665782495</v>
      </c>
      <c r="E24" s="9">
        <f t="shared" si="4"/>
        <v>0.042735042735042736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74">
        <f t="shared" si="4"/>
        <v>0</v>
      </c>
      <c r="J24" s="156" t="e">
        <f t="shared" si="4"/>
        <v>#DIV/0!</v>
      </c>
      <c r="K24" s="157" t="e">
        <f t="shared" si="4"/>
        <v>#DIV/0!</v>
      </c>
      <c r="L24" s="157" t="e">
        <f t="shared" si="4"/>
        <v>#DIV/0!</v>
      </c>
      <c r="M24" s="157" t="e">
        <f t="shared" si="4"/>
        <v>#DIV/0!</v>
      </c>
      <c r="N24" s="157" t="e">
        <f t="shared" si="4"/>
        <v>#DIV/0!</v>
      </c>
      <c r="O24" s="157" t="e">
        <f t="shared" si="4"/>
        <v>#DIV/0!</v>
      </c>
    </row>
    <row r="25" spans="2:15" ht="12.75">
      <c r="B25" s="54" t="s">
        <v>47</v>
      </c>
      <c r="C25" s="9">
        <f aca="true" t="shared" si="5" ref="C25:O25">C12/C$16</f>
        <v>0.0008829667683416278</v>
      </c>
      <c r="D25" s="9">
        <f t="shared" si="5"/>
        <v>0.009725906277630416</v>
      </c>
      <c r="E25" s="9">
        <f t="shared" si="5"/>
        <v>0</v>
      </c>
      <c r="F25" s="9">
        <f t="shared" si="5"/>
        <v>0.012213740458015267</v>
      </c>
      <c r="G25" s="9">
        <f t="shared" si="5"/>
        <v>0.06126760563380282</v>
      </c>
      <c r="H25" s="9">
        <f t="shared" si="5"/>
        <v>0.1833648393194707</v>
      </c>
      <c r="I25" s="74">
        <f t="shared" si="5"/>
        <v>0</v>
      </c>
      <c r="J25" s="156" t="e">
        <f t="shared" si="5"/>
        <v>#DIV/0!</v>
      </c>
      <c r="K25" s="157" t="e">
        <f t="shared" si="5"/>
        <v>#DIV/0!</v>
      </c>
      <c r="L25" s="157" t="e">
        <f t="shared" si="5"/>
        <v>#DIV/0!</v>
      </c>
      <c r="M25" s="157" t="e">
        <f t="shared" si="5"/>
        <v>#DIV/0!</v>
      </c>
      <c r="N25" s="157" t="e">
        <f t="shared" si="5"/>
        <v>#DIV/0!</v>
      </c>
      <c r="O25" s="157" t="e">
        <f t="shared" si="5"/>
        <v>#DIV/0!</v>
      </c>
    </row>
    <row r="26" spans="2:15" ht="12.75">
      <c r="B26" s="4" t="s">
        <v>55</v>
      </c>
      <c r="C26" s="124">
        <f aca="true" t="shared" si="6" ref="C26:O26">C13/C$16</f>
        <v>0</v>
      </c>
      <c r="D26" s="124">
        <f t="shared" si="6"/>
        <v>0.015030946065428824</v>
      </c>
      <c r="E26" s="124">
        <f t="shared" si="6"/>
        <v>0.06552706552706553</v>
      </c>
      <c r="F26" s="124">
        <f t="shared" si="6"/>
        <v>0.011195928753180661</v>
      </c>
      <c r="G26" s="124">
        <f t="shared" si="6"/>
        <v>0.38309859154929576</v>
      </c>
      <c r="H26" s="124">
        <f t="shared" si="6"/>
        <v>0.29111531190926276</v>
      </c>
      <c r="I26" s="141">
        <f t="shared" si="6"/>
        <v>0.04390243902439024</v>
      </c>
      <c r="J26" s="158" t="e">
        <f t="shared" si="6"/>
        <v>#DIV/0!</v>
      </c>
      <c r="K26" s="159" t="e">
        <f t="shared" si="6"/>
        <v>#DIV/0!</v>
      </c>
      <c r="L26" s="159" t="e">
        <f t="shared" si="6"/>
        <v>#DIV/0!</v>
      </c>
      <c r="M26" s="159" t="e">
        <f t="shared" si="6"/>
        <v>#DIV/0!</v>
      </c>
      <c r="N26" s="159" t="e">
        <f t="shared" si="6"/>
        <v>#DIV/0!</v>
      </c>
      <c r="O26" s="159" t="e">
        <f t="shared" si="6"/>
        <v>#DIV/0!</v>
      </c>
    </row>
    <row r="27" spans="2:15" ht="12.75">
      <c r="B27" s="35" t="s">
        <v>44</v>
      </c>
      <c r="C27" s="125">
        <f aca="true" t="shared" si="7" ref="C27:O27">C15/C16</f>
        <v>0</v>
      </c>
      <c r="D27" s="125">
        <f t="shared" si="7"/>
        <v>0</v>
      </c>
      <c r="E27" s="125">
        <f t="shared" si="7"/>
        <v>0</v>
      </c>
      <c r="F27" s="125">
        <f t="shared" si="7"/>
        <v>0</v>
      </c>
      <c r="G27" s="125">
        <f t="shared" si="7"/>
        <v>0</v>
      </c>
      <c r="H27" s="125">
        <f t="shared" si="7"/>
        <v>0</v>
      </c>
      <c r="I27" s="142">
        <f t="shared" si="7"/>
        <v>0</v>
      </c>
      <c r="J27" s="160" t="e">
        <f t="shared" si="7"/>
        <v>#DIV/0!</v>
      </c>
      <c r="K27" s="161" t="e">
        <f t="shared" si="7"/>
        <v>#DIV/0!</v>
      </c>
      <c r="L27" s="161" t="e">
        <f t="shared" si="7"/>
        <v>#DIV/0!</v>
      </c>
      <c r="M27" s="161" t="e">
        <f t="shared" si="7"/>
        <v>#DIV/0!</v>
      </c>
      <c r="N27" s="161" t="e">
        <f t="shared" si="7"/>
        <v>#DIV/0!</v>
      </c>
      <c r="O27" s="161" t="e">
        <f t="shared" si="7"/>
        <v>#DIV/0!</v>
      </c>
    </row>
    <row r="28" spans="2:15" ht="12.75">
      <c r="B28" s="98" t="s">
        <v>158</v>
      </c>
      <c r="C28" s="127">
        <f aca="true" t="shared" si="8" ref="C28:O28">SUM(C19:C27)</f>
        <v>1</v>
      </c>
      <c r="D28" s="127">
        <f t="shared" si="8"/>
        <v>1</v>
      </c>
      <c r="E28" s="127">
        <f t="shared" si="8"/>
        <v>1</v>
      </c>
      <c r="F28" s="127">
        <f t="shared" si="8"/>
        <v>1</v>
      </c>
      <c r="G28" s="127">
        <f t="shared" si="8"/>
        <v>1</v>
      </c>
      <c r="H28" s="127">
        <f t="shared" si="8"/>
        <v>1</v>
      </c>
      <c r="I28" s="143">
        <f t="shared" si="8"/>
        <v>1</v>
      </c>
      <c r="J28" s="162" t="e">
        <f t="shared" si="8"/>
        <v>#DIV/0!</v>
      </c>
      <c r="K28" s="163" t="e">
        <f t="shared" si="8"/>
        <v>#DIV/0!</v>
      </c>
      <c r="L28" s="163" t="e">
        <f t="shared" si="8"/>
        <v>#DIV/0!</v>
      </c>
      <c r="M28" s="163" t="e">
        <f t="shared" si="8"/>
        <v>#DIV/0!</v>
      </c>
      <c r="N28" s="163" t="e">
        <f t="shared" si="8"/>
        <v>#DIV/0!</v>
      </c>
      <c r="O28" s="163" t="e">
        <f t="shared" si="8"/>
        <v>#DIV/0!</v>
      </c>
    </row>
    <row r="29" spans="2:15" ht="12.75"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ht="12.75">
      <c r="B30" s="204" t="s">
        <v>159</v>
      </c>
    </row>
    <row r="31" spans="2:16" ht="12.75">
      <c r="B31" s="34" t="s">
        <v>160</v>
      </c>
      <c r="C31" s="512">
        <f>'Price Indices'!C30</f>
        <v>1</v>
      </c>
      <c r="D31" s="512">
        <f>'Price Indices'!D30</f>
        <v>1.3748174116272276</v>
      </c>
      <c r="E31" s="512">
        <f>'Price Indices'!E30</f>
        <v>2.0555068653228163</v>
      </c>
      <c r="F31" s="512">
        <f>'Price Indices'!F30</f>
        <v>2.961985392930178</v>
      </c>
      <c r="G31" s="512">
        <f>'Price Indices'!G30</f>
        <v>3.6197475898334797</v>
      </c>
      <c r="H31" s="512">
        <f>'Price Indices'!H30</f>
        <v>4.53239263803681</v>
      </c>
      <c r="I31" s="627">
        <f>'Price Indices'!I30</f>
        <v>5.455187779141104</v>
      </c>
      <c r="J31" s="136">
        <v>1</v>
      </c>
      <c r="K31" s="123">
        <v>1</v>
      </c>
      <c r="L31" s="123">
        <v>1</v>
      </c>
      <c r="M31" s="123">
        <v>1</v>
      </c>
      <c r="N31" s="123">
        <v>1</v>
      </c>
      <c r="O31" s="123">
        <v>1</v>
      </c>
      <c r="P31" s="6"/>
    </row>
    <row r="32" spans="2:16" ht="12.75">
      <c r="B32" s="3" t="s">
        <v>161</v>
      </c>
      <c r="C32" s="513">
        <f>'Price Indices'!C31</f>
        <v>1</v>
      </c>
      <c r="D32" s="513">
        <f>'Price Indices'!D31</f>
        <v>1.4498644986449865</v>
      </c>
      <c r="E32" s="513">
        <f>'Price Indices'!E31</f>
        <v>2.3130081300813004</v>
      </c>
      <c r="F32" s="513">
        <f>'Price Indices'!F31</f>
        <v>3.1988902439024387</v>
      </c>
      <c r="G32" s="513">
        <f>'Price Indices'!G31</f>
        <v>3.6938739837398367</v>
      </c>
      <c r="H32" s="513">
        <f>'Price Indices'!H31</f>
        <v>4.521930894308943</v>
      </c>
      <c r="I32" s="628">
        <f>'Price Indices'!I31</f>
        <v>5.761844345528455</v>
      </c>
      <c r="J32" s="137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6"/>
    </row>
    <row r="33" spans="2:16" ht="12.75">
      <c r="B33" s="3" t="s">
        <v>162</v>
      </c>
      <c r="C33" s="513">
        <f>'Price Indices'!C32</f>
        <v>1</v>
      </c>
      <c r="D33" s="513">
        <f>'Price Indices'!D32</f>
        <v>1.452876984126984</v>
      </c>
      <c r="E33" s="513">
        <f>'Price Indices'!E32</f>
        <v>1.8169642857142858</v>
      </c>
      <c r="F33" s="513">
        <f>'Price Indices'!F32</f>
        <v>2.3820401785714287</v>
      </c>
      <c r="G33" s="513">
        <f>'Price Indices'!G32</f>
        <v>2.8417321428571434</v>
      </c>
      <c r="H33" s="513">
        <f>'Price Indices'!H32</f>
        <v>3.1433482142857145</v>
      </c>
      <c r="I33" s="628">
        <f>'Price Indices'!I32</f>
        <v>4.2554648125</v>
      </c>
      <c r="J33" s="137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6"/>
    </row>
    <row r="34" spans="2:16" ht="12.75">
      <c r="B34" s="3" t="s">
        <v>163</v>
      </c>
      <c r="C34" s="513">
        <f>'Price Indices'!C33</f>
        <v>1</v>
      </c>
      <c r="D34" s="513">
        <f>'Price Indices'!D33</f>
        <v>1.4041139240506328</v>
      </c>
      <c r="E34" s="513">
        <f>'Price Indices'!E33</f>
        <v>2.1341772151898732</v>
      </c>
      <c r="F34" s="513">
        <f>'Price Indices'!F33</f>
        <v>2.9729088607594933</v>
      </c>
      <c r="G34" s="513">
        <f>'Price Indices'!G33</f>
        <v>3.5875518987341763</v>
      </c>
      <c r="H34" s="513">
        <f>'Price Indices'!H33</f>
        <v>4.330245569620252</v>
      </c>
      <c r="I34" s="628">
        <f>'Price Indices'!I33</f>
        <v>5.134805196455694</v>
      </c>
      <c r="J34" s="137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6"/>
    </row>
    <row r="35" spans="2:16" ht="12.75">
      <c r="B35" s="3" t="s">
        <v>164</v>
      </c>
      <c r="C35" s="513">
        <f>'Price Indices'!C34</f>
        <v>1</v>
      </c>
      <c r="D35" s="513">
        <f>'Price Indices'!D34</f>
        <v>1.4041139240506328</v>
      </c>
      <c r="E35" s="513">
        <f>'Price Indices'!E34</f>
        <v>2.1341772151898732</v>
      </c>
      <c r="F35" s="513">
        <f>'Price Indices'!F34</f>
        <v>2.9729088607594933</v>
      </c>
      <c r="G35" s="513">
        <f>'Price Indices'!G34</f>
        <v>3.5875518987341763</v>
      </c>
      <c r="H35" s="513">
        <f>'Price Indices'!H34</f>
        <v>4.330245569620252</v>
      </c>
      <c r="I35" s="628">
        <f>'Price Indices'!I34</f>
        <v>5.134805196455694</v>
      </c>
      <c r="J35" s="137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6"/>
    </row>
    <row r="36" spans="2:16" ht="12.75">
      <c r="B36" s="4" t="s">
        <v>165</v>
      </c>
      <c r="C36" s="513">
        <f>'Price Indices'!C35</f>
        <v>1</v>
      </c>
      <c r="D36" s="513">
        <f>'Price Indices'!D35</f>
        <v>1.4216939078751856</v>
      </c>
      <c r="E36" s="513">
        <f>'Price Indices'!E35</f>
        <v>2.1551263001485883</v>
      </c>
      <c r="F36" s="513">
        <f>'Price Indices'!F35</f>
        <v>3.0236421991084694</v>
      </c>
      <c r="G36" s="513">
        <f>'Price Indices'!G35</f>
        <v>3.7628505200594344</v>
      </c>
      <c r="H36" s="513">
        <f>'Price Indices'!H35</f>
        <v>4.5020588410104</v>
      </c>
      <c r="I36" s="514">
        <f>'Price Indices'!I35</f>
        <v>5.471865676077265</v>
      </c>
      <c r="J36" s="137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6"/>
    </row>
    <row r="37" spans="2:16" ht="12.75">
      <c r="B37" s="30" t="s">
        <v>166</v>
      </c>
      <c r="C37" s="513">
        <f>'Price Indices'!C36</f>
        <v>1</v>
      </c>
      <c r="D37" s="513">
        <f>'Price Indices'!D36</f>
        <v>1.7269999999999999</v>
      </c>
      <c r="E37" s="513">
        <f>'Price Indices'!E36</f>
        <v>2.345266</v>
      </c>
      <c r="F37" s="513">
        <f>'Price Indices'!F36</f>
        <v>3.1027869180000005</v>
      </c>
      <c r="G37" s="513">
        <f>'Price Indices'!G36</f>
        <v>3.620952333306001</v>
      </c>
      <c r="H37" s="513">
        <f>'Price Indices'!H36</f>
        <v>3.983047566636601</v>
      </c>
      <c r="I37" s="514">
        <f>'Price Indices'!I36</f>
        <v>4.118471183902246</v>
      </c>
      <c r="J37" s="137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6"/>
    </row>
    <row r="38" spans="2:16" ht="12.75">
      <c r="B38" s="47" t="s">
        <v>167</v>
      </c>
      <c r="C38" s="515">
        <f>'Price Indices'!C37</f>
        <v>1</v>
      </c>
      <c r="D38" s="515">
        <f>'Price Indices'!D37</f>
        <v>1.7269999999999999</v>
      </c>
      <c r="E38" s="515">
        <f>'Price Indices'!E37</f>
        <v>2.345266</v>
      </c>
      <c r="F38" s="515">
        <f>'Price Indices'!F37</f>
        <v>3.1027869180000005</v>
      </c>
      <c r="G38" s="515">
        <f>'Price Indices'!G37</f>
        <v>3.620952333306001</v>
      </c>
      <c r="H38" s="515">
        <f>'Price Indices'!H37</f>
        <v>3.983047566636601</v>
      </c>
      <c r="I38" s="516">
        <f>'Price Indices'!I37</f>
        <v>4.118471183902246</v>
      </c>
      <c r="J38" s="139">
        <v>1</v>
      </c>
      <c r="K38" s="127">
        <v>1</v>
      </c>
      <c r="L38" s="127">
        <v>1</v>
      </c>
      <c r="M38" s="127">
        <v>1</v>
      </c>
      <c r="N38" s="127">
        <v>1</v>
      </c>
      <c r="O38" s="127">
        <v>1</v>
      </c>
      <c r="P38" s="6"/>
    </row>
    <row r="39" spans="2:16" ht="12.75">
      <c r="B39" s="128" t="s">
        <v>44</v>
      </c>
      <c r="C39" s="529">
        <v>100</v>
      </c>
      <c r="D39" s="529">
        <v>110.14063656550705</v>
      </c>
      <c r="E39" s="529">
        <v>120.79940784603997</v>
      </c>
      <c r="F39" s="529">
        <v>138.2679496669134</v>
      </c>
      <c r="G39" s="529">
        <v>140.34048852701702</v>
      </c>
      <c r="H39" s="529">
        <v>156.62472242783124</v>
      </c>
      <c r="I39" s="530">
        <v>278.77234641006663</v>
      </c>
      <c r="J39" s="138">
        <v>1</v>
      </c>
      <c r="K39" s="125">
        <v>1</v>
      </c>
      <c r="L39" s="125">
        <v>1</v>
      </c>
      <c r="M39" s="125">
        <v>1</v>
      </c>
      <c r="N39" s="125">
        <v>1</v>
      </c>
      <c r="O39" s="125">
        <v>1</v>
      </c>
      <c r="P39" s="6"/>
    </row>
    <row r="40" spans="2:16" ht="12.75">
      <c r="B40" s="146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6"/>
    </row>
    <row r="41" spans="2:16" ht="12.75">
      <c r="B41" s="34" t="s">
        <v>168</v>
      </c>
      <c r="C41" s="517">
        <v>1</v>
      </c>
      <c r="D41" s="512">
        <f>SUMPRODUCT(C19:C27,D31:D39)/SUMPRODUCT(C19:C27,C31:C39)</f>
        <v>1.443448211085269</v>
      </c>
      <c r="E41" s="512">
        <f aca="true" t="shared" si="9" ref="E41:O41">SUMPRODUCT(D19:D27,E31:E39)/SUMPRODUCT(D19:D27,D31:D39)</f>
        <v>1.510176574308648</v>
      </c>
      <c r="F41" s="512">
        <f t="shared" si="9"/>
        <v>1.3898578426415569</v>
      </c>
      <c r="G41" s="512">
        <f t="shared" si="9"/>
        <v>1.2111789986254176</v>
      </c>
      <c r="H41" s="512">
        <f t="shared" si="9"/>
        <v>1.159439804283049</v>
      </c>
      <c r="I41" s="627">
        <f t="shared" si="9"/>
        <v>1.1206127137726332</v>
      </c>
      <c r="J41" s="518">
        <f t="shared" si="9"/>
        <v>0.19583226334120699</v>
      </c>
      <c r="K41" s="517" t="e">
        <f t="shared" si="9"/>
        <v>#DIV/0!</v>
      </c>
      <c r="L41" s="517" t="e">
        <f t="shared" si="9"/>
        <v>#DIV/0!</v>
      </c>
      <c r="M41" s="517" t="e">
        <f t="shared" si="9"/>
        <v>#DIV/0!</v>
      </c>
      <c r="N41" s="517" t="e">
        <f t="shared" si="9"/>
        <v>#DIV/0!</v>
      </c>
      <c r="O41" s="517" t="e">
        <f t="shared" si="9"/>
        <v>#DIV/0!</v>
      </c>
      <c r="P41" s="6"/>
    </row>
    <row r="42" spans="2:16" ht="12.75">
      <c r="B42" s="3" t="s">
        <v>169</v>
      </c>
      <c r="C42" s="519">
        <v>1</v>
      </c>
      <c r="D42" s="513">
        <f>SUMPRODUCT(D19:D27,D31:D39)/SUMPRODUCT(D19:D27,C31:C39)</f>
        <v>1.4075642678949922</v>
      </c>
      <c r="E42" s="513">
        <f aca="true" t="shared" si="10" ref="E42:O42">SUMPRODUCT(E19:E27,E31:E39)/SUMPRODUCT(E19:E27,D31:D39)</f>
        <v>1.5061621880212404</v>
      </c>
      <c r="F42" s="513">
        <f t="shared" si="10"/>
        <v>1.4028279189873498</v>
      </c>
      <c r="G42" s="513">
        <f t="shared" si="10"/>
        <v>1.1889354925238846</v>
      </c>
      <c r="H42" s="513">
        <f t="shared" si="10"/>
        <v>1.1586585824219353</v>
      </c>
      <c r="I42" s="628">
        <f t="shared" si="10"/>
        <v>1.1835243863956668</v>
      </c>
      <c r="J42" s="520" t="e">
        <f t="shared" si="10"/>
        <v>#DIV/0!</v>
      </c>
      <c r="K42" s="519" t="e">
        <f t="shared" si="10"/>
        <v>#DIV/0!</v>
      </c>
      <c r="L42" s="519" t="e">
        <f t="shared" si="10"/>
        <v>#DIV/0!</v>
      </c>
      <c r="M42" s="519" t="e">
        <f t="shared" si="10"/>
        <v>#DIV/0!</v>
      </c>
      <c r="N42" s="519" t="e">
        <f t="shared" si="10"/>
        <v>#DIV/0!</v>
      </c>
      <c r="O42" s="519" t="e">
        <f t="shared" si="10"/>
        <v>#DIV/0!</v>
      </c>
      <c r="P42" s="6"/>
    </row>
    <row r="43" spans="2:16" ht="12.75">
      <c r="B43" s="3" t="s">
        <v>170</v>
      </c>
      <c r="C43" s="519">
        <v>1</v>
      </c>
      <c r="D43" s="513">
        <f>(D41*D42)^0.5</f>
        <v>1.425393322729054</v>
      </c>
      <c r="E43" s="513">
        <f aca="true" t="shared" si="11" ref="E43:O43">(E41*E42)^0.5</f>
        <v>1.508168045497296</v>
      </c>
      <c r="F43" s="513">
        <f t="shared" si="11"/>
        <v>1.3963278214950465</v>
      </c>
      <c r="G43" s="513">
        <f t="shared" si="11"/>
        <v>1.2000057080136313</v>
      </c>
      <c r="H43" s="513">
        <f t="shared" si="11"/>
        <v>1.1590491275326356</v>
      </c>
      <c r="I43" s="628">
        <f t="shared" si="11"/>
        <v>1.1516390382645678</v>
      </c>
      <c r="J43" s="520" t="e">
        <f t="shared" si="11"/>
        <v>#DIV/0!</v>
      </c>
      <c r="K43" s="521" t="e">
        <f t="shared" si="11"/>
        <v>#DIV/0!</v>
      </c>
      <c r="L43" s="521" t="e">
        <f t="shared" si="11"/>
        <v>#DIV/0!</v>
      </c>
      <c r="M43" s="521" t="e">
        <f t="shared" si="11"/>
        <v>#DIV/0!</v>
      </c>
      <c r="N43" s="521" t="e">
        <f t="shared" si="11"/>
        <v>#DIV/0!</v>
      </c>
      <c r="O43" s="521" t="e">
        <f t="shared" si="11"/>
        <v>#DIV/0!</v>
      </c>
      <c r="P43" s="6"/>
    </row>
    <row r="44" spans="2:16" ht="12.75">
      <c r="B44" s="47" t="s">
        <v>171</v>
      </c>
      <c r="C44" s="163">
        <v>1</v>
      </c>
      <c r="D44" s="127">
        <f>C44*D43</f>
        <v>1.425393322729054</v>
      </c>
      <c r="E44" s="127">
        <f aca="true" t="shared" si="12" ref="E44:O44">D44*E43</f>
        <v>2.149732661605174</v>
      </c>
      <c r="F44" s="127">
        <f t="shared" si="12"/>
        <v>3.0017315241759004</v>
      </c>
      <c r="G44" s="127">
        <f t="shared" si="12"/>
        <v>3.6020949629355377</v>
      </c>
      <c r="H44" s="127">
        <f t="shared" si="12"/>
        <v>4.175005024080136</v>
      </c>
      <c r="I44" s="629">
        <f t="shared" si="12"/>
        <v>4.8080987706813865</v>
      </c>
      <c r="J44" s="162" t="e">
        <f t="shared" si="12"/>
        <v>#DIV/0!</v>
      </c>
      <c r="K44" s="163" t="e">
        <f t="shared" si="12"/>
        <v>#DIV/0!</v>
      </c>
      <c r="L44" s="163" t="e">
        <f t="shared" si="12"/>
        <v>#DIV/0!</v>
      </c>
      <c r="M44" s="163" t="e">
        <f t="shared" si="12"/>
        <v>#DIV/0!</v>
      </c>
      <c r="N44" s="163" t="e">
        <f t="shared" si="12"/>
        <v>#DIV/0!</v>
      </c>
      <c r="O44" s="163" t="e">
        <f t="shared" si="12"/>
        <v>#DIV/0!</v>
      </c>
      <c r="P44" s="6"/>
    </row>
    <row r="45" ht="12.75">
      <c r="I45" s="147"/>
    </row>
    <row r="46" spans="2:9" ht="12.75">
      <c r="B46" s="209" t="s">
        <v>172</v>
      </c>
      <c r="I46" s="147"/>
    </row>
    <row r="47" spans="2:15" ht="12.75">
      <c r="B47" s="53" t="s">
        <v>187</v>
      </c>
      <c r="C47" s="531">
        <f>'Capital Input Data'!C95+'Capital Input Data'!C107-'Capital Input Data'!C108+'Capital Input Data'!C101</f>
        <v>289114</v>
      </c>
      <c r="D47" s="531">
        <f>'Capital Input Data'!D95+'Capital Input Data'!D107-'Capital Input Data'!D108+'Capital Input Data'!D101</f>
        <v>12531</v>
      </c>
      <c r="E47" s="531">
        <f>'Capital Input Data'!E95+'Capital Input Data'!E107-'Capital Input Data'!E108+'Capital Input Data'!E101</f>
        <v>11943</v>
      </c>
      <c r="F47" s="531">
        <f>'Capital Input Data'!F95+'Capital Input Data'!F107-'Capital Input Data'!F108+'Capital Input Data'!F101</f>
        <v>7854</v>
      </c>
      <c r="G47" s="531">
        <f>'Capital Input Data'!G95+'Capital Input Data'!G107-'Capital Input Data'!G108+'Capital Input Data'!G101</f>
        <v>71773</v>
      </c>
      <c r="H47" s="531">
        <f>'Capital Input Data'!H95+'Capital Input Data'!H107-'Capital Input Data'!H108+'Capital Input Data'!H101</f>
        <v>17313</v>
      </c>
      <c r="I47" s="532">
        <f>'Capital Input Data'!I95+'Capital Input Data'!I107-'Capital Input Data'!I108+'Capital Input Data'!I101</f>
        <v>3733</v>
      </c>
      <c r="J47" s="533">
        <f>'Capital Input Data'!J95+'Capital Input Data'!J107-'Capital Input Data'!J108+'Capital Input Data'!J101</f>
        <v>0</v>
      </c>
      <c r="K47" s="531">
        <f>'Capital Input Data'!K95+'Capital Input Data'!K107-'Capital Input Data'!K108+'Capital Input Data'!K101</f>
        <v>0</v>
      </c>
      <c r="L47" s="531">
        <f>'Capital Input Data'!L95+'Capital Input Data'!L107-'Capital Input Data'!L108+'Capital Input Data'!L101</f>
        <v>0</v>
      </c>
      <c r="M47" s="531">
        <f>'Capital Input Data'!M95+'Capital Input Data'!M107-'Capital Input Data'!M108+'Capital Input Data'!M101</f>
        <v>0</v>
      </c>
      <c r="N47" s="531">
        <f>'Capital Input Data'!N95+'Capital Input Data'!N107-'Capital Input Data'!N108+'Capital Input Data'!N101</f>
        <v>0</v>
      </c>
      <c r="O47" s="531">
        <f>'Capital Input Data'!O95+'Capital Input Data'!O107-'Capital Input Data'!O108+'Capital Input Data'!O101</f>
        <v>0</v>
      </c>
    </row>
    <row r="48" spans="2:15" ht="12.75">
      <c r="B48" s="30" t="s">
        <v>42</v>
      </c>
      <c r="C48" s="534">
        <f>C16</f>
        <v>62290</v>
      </c>
      <c r="D48" s="534">
        <f>D16</f>
        <v>1131</v>
      </c>
      <c r="E48" s="534">
        <f aca="true" t="shared" si="13" ref="E48:O48">E16</f>
        <v>351</v>
      </c>
      <c r="F48" s="534">
        <f t="shared" si="13"/>
        <v>1965</v>
      </c>
      <c r="G48" s="534">
        <f t="shared" si="13"/>
        <v>1420</v>
      </c>
      <c r="H48" s="534">
        <f t="shared" si="13"/>
        <v>529</v>
      </c>
      <c r="I48" s="535">
        <f t="shared" si="13"/>
        <v>1230</v>
      </c>
      <c r="J48" s="536">
        <f t="shared" si="13"/>
        <v>0</v>
      </c>
      <c r="K48" s="534">
        <f t="shared" si="13"/>
        <v>0</v>
      </c>
      <c r="L48" s="534">
        <f t="shared" si="13"/>
        <v>0</v>
      </c>
      <c r="M48" s="534">
        <f t="shared" si="13"/>
        <v>0</v>
      </c>
      <c r="N48" s="534">
        <f t="shared" si="13"/>
        <v>0</v>
      </c>
      <c r="O48" s="534">
        <f t="shared" si="13"/>
        <v>0</v>
      </c>
    </row>
    <row r="49" spans="2:15" ht="12.75">
      <c r="B49" s="30" t="s">
        <v>188</v>
      </c>
      <c r="C49" s="534">
        <f>'Capital Input Data'!C100+'Capital Input Data'!C99+'Capital Input Data'!C106+'Capital Input Data'!C105+'Capital Input Data'!C107</f>
        <v>420734</v>
      </c>
      <c r="D49" s="534">
        <f>'Capital Input Data'!D100+'Capital Input Data'!D99+'Capital Input Data'!D106+'Capital Input Data'!D105+'Capital Input Data'!D107</f>
        <v>105881</v>
      </c>
      <c r="E49" s="534">
        <f>'Capital Input Data'!E100+'Capital Input Data'!E99+'Capital Input Data'!E106+'Capital Input Data'!E105+'Capital Input Data'!E107</f>
        <v>194643</v>
      </c>
      <c r="F49" s="534">
        <f>'Capital Input Data'!F100+'Capital Input Data'!F99+'Capital Input Data'!F106+'Capital Input Data'!F105+'Capital Input Data'!F107</f>
        <v>998678</v>
      </c>
      <c r="G49" s="534">
        <f>'Capital Input Data'!G100+'Capital Input Data'!G99+'Capital Input Data'!G106+'Capital Input Data'!G105+'Capital Input Data'!G107</f>
        <v>796728</v>
      </c>
      <c r="H49" s="534">
        <f>'Capital Input Data'!H100+'Capital Input Data'!H99+'Capital Input Data'!H106+'Capital Input Data'!H105+'Capital Input Data'!H107</f>
        <v>833456</v>
      </c>
      <c r="I49" s="535">
        <f>'Capital Input Data'!I100+'Capital Input Data'!I99+'Capital Input Data'!I106+'Capital Input Data'!I105+'Capital Input Data'!I107</f>
        <v>941996</v>
      </c>
      <c r="J49" s="536">
        <f>'Capital Input Data'!J100+'Capital Input Data'!J99+'Capital Input Data'!J106+'Capital Input Data'!J105+'Capital Input Data'!J107</f>
        <v>0</v>
      </c>
      <c r="K49" s="534">
        <f>'Capital Input Data'!K100+'Capital Input Data'!K99+'Capital Input Data'!K106+'Capital Input Data'!K105+'Capital Input Data'!K107</f>
        <v>0</v>
      </c>
      <c r="L49" s="534">
        <f>'Capital Input Data'!L100+'Capital Input Data'!L99+'Capital Input Data'!L106+'Capital Input Data'!L105+'Capital Input Data'!L107</f>
        <v>0</v>
      </c>
      <c r="M49" s="534">
        <f>'Capital Input Data'!M100+'Capital Input Data'!M99+'Capital Input Data'!M106+'Capital Input Data'!M105+'Capital Input Data'!M107</f>
        <v>0</v>
      </c>
      <c r="N49" s="534">
        <f>'Capital Input Data'!N100+'Capital Input Data'!N99+'Capital Input Data'!N106+'Capital Input Data'!N105+'Capital Input Data'!N107</f>
        <v>0</v>
      </c>
      <c r="O49" s="534">
        <f>'Capital Input Data'!O100+'Capital Input Data'!O99+'Capital Input Data'!O106+'Capital Input Data'!O105+'Capital Input Data'!O107</f>
        <v>0</v>
      </c>
    </row>
    <row r="50" spans="2:15" ht="12.75">
      <c r="B50" s="30" t="s">
        <v>189</v>
      </c>
      <c r="C50" s="534">
        <f>C47+C48-C49</f>
        <v>-69330</v>
      </c>
      <c r="D50" s="534">
        <f>D47+D48-D49</f>
        <v>-92219</v>
      </c>
      <c r="E50" s="534">
        <f aca="true" t="shared" si="14" ref="E50:O50">E47+E48-E49</f>
        <v>-182349</v>
      </c>
      <c r="F50" s="534">
        <f t="shared" si="14"/>
        <v>-988859</v>
      </c>
      <c r="G50" s="534">
        <f t="shared" si="14"/>
        <v>-723535</v>
      </c>
      <c r="H50" s="534">
        <f t="shared" si="14"/>
        <v>-815614</v>
      </c>
      <c r="I50" s="535">
        <f t="shared" si="14"/>
        <v>-937033</v>
      </c>
      <c r="J50" s="536">
        <f t="shared" si="14"/>
        <v>0</v>
      </c>
      <c r="K50" s="534">
        <f t="shared" si="14"/>
        <v>0</v>
      </c>
      <c r="L50" s="534">
        <f t="shared" si="14"/>
        <v>0</v>
      </c>
      <c r="M50" s="534">
        <f t="shared" si="14"/>
        <v>0</v>
      </c>
      <c r="N50" s="534">
        <f t="shared" si="14"/>
        <v>0</v>
      </c>
      <c r="O50" s="534">
        <f t="shared" si="14"/>
        <v>0</v>
      </c>
    </row>
    <row r="51" spans="2:15" ht="12.75">
      <c r="B51" s="148" t="s">
        <v>173</v>
      </c>
      <c r="C51" s="624">
        <f>'Cost of Capital'!C8</f>
        <v>587</v>
      </c>
      <c r="D51" s="624">
        <f>'Cost of Capital'!D8</f>
        <v>15248</v>
      </c>
      <c r="E51" s="624">
        <f>'Cost of Capital'!E8</f>
        <v>33</v>
      </c>
      <c r="F51" s="624">
        <f>'Cost of Capital'!F8</f>
        <v>664</v>
      </c>
      <c r="G51" s="624">
        <f>'Cost of Capital'!G8</f>
        <v>354</v>
      </c>
      <c r="H51" s="624">
        <f>'Cost of Capital'!H8</f>
        <v>37</v>
      </c>
      <c r="I51" s="625">
        <f>'Cost of Capital'!I8</f>
        <v>555</v>
      </c>
      <c r="J51" s="626">
        <f>'Cost of Capital'!J8</f>
        <v>0</v>
      </c>
      <c r="K51" s="624">
        <f>'Cost of Capital'!K8</f>
        <v>0</v>
      </c>
      <c r="L51" s="624">
        <f>'Cost of Capital'!L8</f>
        <v>0</v>
      </c>
      <c r="M51" s="624">
        <f>'Cost of Capital'!M8</f>
        <v>0</v>
      </c>
      <c r="N51" s="624">
        <f>'Cost of Capital'!N8</f>
        <v>0</v>
      </c>
      <c r="O51" s="624">
        <f>'Cost of Capital'!O8</f>
        <v>0</v>
      </c>
    </row>
    <row r="52" spans="2:15" ht="12.75">
      <c r="B52" s="148" t="s">
        <v>108</v>
      </c>
      <c r="C52" s="432">
        <f>C51/((C47+C49)/2)</f>
        <v>0.001653875195816569</v>
      </c>
      <c r="D52" s="432">
        <f>D51/((D47+D49)/2)</f>
        <v>0.25754146539202105</v>
      </c>
      <c r="E52" s="432">
        <f aca="true" t="shared" si="15" ref="E52:O52">E51/((E47+E49)/2)</f>
        <v>0.0003194795387877204</v>
      </c>
      <c r="F52" s="432">
        <f t="shared" si="15"/>
        <v>0.0013193817980948444</v>
      </c>
      <c r="G52" s="432">
        <f t="shared" si="15"/>
        <v>0.0008151976796802767</v>
      </c>
      <c r="H52" s="432">
        <f t="shared" si="15"/>
        <v>8.698013209226006E-05</v>
      </c>
      <c r="I52" s="433">
        <f t="shared" si="15"/>
        <v>0.0011736977506241217</v>
      </c>
      <c r="J52" s="522" t="e">
        <f t="shared" si="15"/>
        <v>#DIV/0!</v>
      </c>
      <c r="K52" s="432" t="e">
        <f t="shared" si="15"/>
        <v>#DIV/0!</v>
      </c>
      <c r="L52" s="432" t="e">
        <f t="shared" si="15"/>
        <v>#DIV/0!</v>
      </c>
      <c r="M52" s="432" t="e">
        <f t="shared" si="15"/>
        <v>#DIV/0!</v>
      </c>
      <c r="N52" s="432" t="e">
        <f t="shared" si="15"/>
        <v>#DIV/0!</v>
      </c>
      <c r="O52" s="432" t="e">
        <f t="shared" si="15"/>
        <v>#DIV/0!</v>
      </c>
    </row>
    <row r="53" spans="2:15" ht="12.75">
      <c r="B53" s="148" t="s">
        <v>174</v>
      </c>
      <c r="C53" s="432">
        <f>AVERAGE($C$52:C52)</f>
        <v>0.001653875195816569</v>
      </c>
      <c r="D53" s="432">
        <f>AVERAGE($C$52:D52)</f>
        <v>0.1295976702939188</v>
      </c>
      <c r="E53" s="432">
        <f>AVERAGE($C$52:E52)</f>
        <v>0.08650494004220845</v>
      </c>
      <c r="F53" s="432">
        <f>AVERAGE($C$52:F52)</f>
        <v>0.06520855048118004</v>
      </c>
      <c r="G53" s="432">
        <f>AVERAGE($C$52:G52)</f>
        <v>0.0523298799208801</v>
      </c>
      <c r="H53" s="432">
        <f>AVERAGE($C$52:H52)</f>
        <v>0.04362272995608212</v>
      </c>
      <c r="I53" s="433">
        <f>AVERAGE($C$52:I52)</f>
        <v>0.037558582498159555</v>
      </c>
      <c r="J53" s="522" t="e">
        <f>AVERAGE($C$52:J52)</f>
        <v>#DIV/0!</v>
      </c>
      <c r="K53" s="432" t="e">
        <f>AVERAGE($C$52:K52)</f>
        <v>#DIV/0!</v>
      </c>
      <c r="L53" s="432" t="e">
        <f>AVERAGE($C$52:L52)</f>
        <v>#DIV/0!</v>
      </c>
      <c r="M53" s="432" t="e">
        <f>AVERAGE($C$52:M52)</f>
        <v>#DIV/0!</v>
      </c>
      <c r="N53" s="432" t="e">
        <f>AVERAGE($C$52:N52)</f>
        <v>#DIV/0!</v>
      </c>
      <c r="O53" s="432" t="e">
        <f>AVERAGE($C$52:O52)</f>
        <v>#DIV/0!</v>
      </c>
    </row>
    <row r="54" spans="2:15" ht="12.75">
      <c r="B54" s="129" t="s">
        <v>175</v>
      </c>
      <c r="C54" s="150"/>
      <c r="D54" s="150">
        <f>VAR($C$53:D$53)</f>
        <v>0.008184807352052586</v>
      </c>
      <c r="E54" s="150">
        <f>VAR($C$53:E$53)</f>
        <v>0.004237716885036408</v>
      </c>
      <c r="F54" s="150">
        <f>VAR($C$53:F$53)</f>
        <v>0.0028387494182867297</v>
      </c>
      <c r="G54" s="150">
        <f>VAR($C$53:G$53)</f>
        <v>0.0021968578396582205</v>
      </c>
      <c r="H54" s="150">
        <f>VAR($C$53:H$53)</f>
        <v>0.0018490292659756387</v>
      </c>
      <c r="I54" s="151">
        <f>VAR($C$53:I$53)</f>
        <v>0.0016344393196725093</v>
      </c>
      <c r="J54" s="152" t="e">
        <f>VAR($C$53:J$53)</f>
        <v>#DIV/0!</v>
      </c>
      <c r="K54" s="150" t="e">
        <f>VAR($C$53:K$53)</f>
        <v>#DIV/0!</v>
      </c>
      <c r="L54" s="150" t="e">
        <f>VAR($C$53:L$53)</f>
        <v>#DIV/0!</v>
      </c>
      <c r="M54" s="150" t="e">
        <f>VAR($C$53:M$53)</f>
        <v>#DIV/0!</v>
      </c>
      <c r="N54" s="150" t="e">
        <f>VAR($C$53:N$53)</f>
        <v>#DIV/0!</v>
      </c>
      <c r="O54" s="150" t="e">
        <f>VAR($C$53:O$53)</f>
        <v>#DIV/0!</v>
      </c>
    </row>
    <row r="55" spans="2:15" ht="12.75">
      <c r="B55" s="52" t="s">
        <v>192</v>
      </c>
      <c r="C55" s="537">
        <f>C47-'Capital Input Data'!C52</f>
        <v>144580</v>
      </c>
      <c r="D55" s="537"/>
      <c r="E55" s="537"/>
      <c r="F55" s="537"/>
      <c r="G55" s="537"/>
      <c r="H55" s="537"/>
      <c r="I55" s="538"/>
      <c r="J55" s="539"/>
      <c r="K55" s="537"/>
      <c r="L55" s="537"/>
      <c r="M55" s="537"/>
      <c r="N55" s="537"/>
      <c r="O55" s="537"/>
    </row>
    <row r="56" spans="2:15" ht="12.75">
      <c r="B56" s="3" t="s">
        <v>184</v>
      </c>
      <c r="C56" s="534">
        <f>C16/C44</f>
        <v>62290</v>
      </c>
      <c r="D56" s="534">
        <f>D16/D44</f>
        <v>793.4652014747695</v>
      </c>
      <c r="E56" s="534">
        <f aca="true" t="shared" si="16" ref="E56:O56">E16/E44</f>
        <v>163.27611626736575</v>
      </c>
      <c r="F56" s="534">
        <f t="shared" si="16"/>
        <v>654.6221686296458</v>
      </c>
      <c r="G56" s="534">
        <f t="shared" si="16"/>
        <v>394.21503725231247</v>
      </c>
      <c r="H56" s="534">
        <f t="shared" si="16"/>
        <v>126.70643435131021</v>
      </c>
      <c r="I56" s="535">
        <f t="shared" si="16"/>
        <v>255.81837201436875</v>
      </c>
      <c r="J56" s="536" t="e">
        <f t="shared" si="16"/>
        <v>#DIV/0!</v>
      </c>
      <c r="K56" s="534" t="e">
        <f t="shared" si="16"/>
        <v>#DIV/0!</v>
      </c>
      <c r="L56" s="534" t="e">
        <f t="shared" si="16"/>
        <v>#DIV/0!</v>
      </c>
      <c r="M56" s="534" t="e">
        <f t="shared" si="16"/>
        <v>#DIV/0!</v>
      </c>
      <c r="N56" s="534" t="e">
        <f t="shared" si="16"/>
        <v>#DIV/0!</v>
      </c>
      <c r="O56" s="534" t="e">
        <f t="shared" si="16"/>
        <v>#DIV/0!</v>
      </c>
    </row>
    <row r="57" spans="2:15" ht="12.75">
      <c r="B57" s="149" t="s">
        <v>176</v>
      </c>
      <c r="C57" s="534">
        <f>C55*(1-$I$53)+C56</f>
        <v>201439.7801424161</v>
      </c>
      <c r="D57" s="534">
        <f>C57*(1-$I$53)+D56</f>
        <v>194667.4527430008</v>
      </c>
      <c r="E57" s="534">
        <f aca="true" t="shared" si="17" ref="E57:O57">D57*(1-$I$53)+E56</f>
        <v>187519.29527571358</v>
      </c>
      <c r="F57" s="534">
        <f t="shared" si="17"/>
        <v>181130.9585227336</v>
      </c>
      <c r="G57" s="534">
        <f t="shared" si="17"/>
        <v>174722.1515113391</v>
      </c>
      <c r="H57" s="534">
        <f t="shared" si="17"/>
        <v>168286.54160389584</v>
      </c>
      <c r="I57" s="535">
        <f t="shared" si="17"/>
        <v>162221.75601975032</v>
      </c>
      <c r="J57" s="536" t="e">
        <f t="shared" si="17"/>
        <v>#DIV/0!</v>
      </c>
      <c r="K57" s="534" t="e">
        <f t="shared" si="17"/>
        <v>#DIV/0!</v>
      </c>
      <c r="L57" s="534" t="e">
        <f t="shared" si="17"/>
        <v>#DIV/0!</v>
      </c>
      <c r="M57" s="534" t="e">
        <f t="shared" si="17"/>
        <v>#DIV/0!</v>
      </c>
      <c r="N57" s="534" t="e">
        <f t="shared" si="17"/>
        <v>#DIV/0!</v>
      </c>
      <c r="O57" s="534" t="e">
        <f t="shared" si="17"/>
        <v>#DIV/0!</v>
      </c>
    </row>
    <row r="58" spans="2:15" ht="12.75">
      <c r="B58" s="54" t="s">
        <v>185</v>
      </c>
      <c r="C58" s="523">
        <f>C57/$C$57</f>
        <v>1</v>
      </c>
      <c r="D58" s="523">
        <f>D57/$C$57</f>
        <v>0.9663803872570386</v>
      </c>
      <c r="E58" s="523">
        <f aca="true" t="shared" si="18" ref="E58:O58">E57/$C$57</f>
        <v>0.9308950553020815</v>
      </c>
      <c r="F58" s="523">
        <f t="shared" si="18"/>
        <v>0.8991816730274211</v>
      </c>
      <c r="G58" s="523">
        <f t="shared" si="18"/>
        <v>0.8673666710111186</v>
      </c>
      <c r="H58" s="523">
        <f t="shared" si="18"/>
        <v>0.8354186123759606</v>
      </c>
      <c r="I58" s="524">
        <f t="shared" si="18"/>
        <v>0.8053114231213964</v>
      </c>
      <c r="J58" s="525" t="e">
        <f t="shared" si="18"/>
        <v>#DIV/0!</v>
      </c>
      <c r="K58" s="523" t="e">
        <f t="shared" si="18"/>
        <v>#DIV/0!</v>
      </c>
      <c r="L58" s="523" t="e">
        <f t="shared" si="18"/>
        <v>#DIV/0!</v>
      </c>
      <c r="M58" s="523" t="e">
        <f t="shared" si="18"/>
        <v>#DIV/0!</v>
      </c>
      <c r="N58" s="523" t="e">
        <f t="shared" si="18"/>
        <v>#DIV/0!</v>
      </c>
      <c r="O58" s="523" t="e">
        <f t="shared" si="18"/>
        <v>#DIV/0!</v>
      </c>
    </row>
    <row r="59" spans="2:15" ht="12.75">
      <c r="B59" s="255" t="s">
        <v>186</v>
      </c>
      <c r="C59" s="285"/>
      <c r="D59" s="285">
        <f aca="true" t="shared" si="19" ref="D59:O59">LN(D58/C58)</f>
        <v>-0.03419774665049066</v>
      </c>
      <c r="E59" s="285">
        <f t="shared" si="19"/>
        <v>-0.03741098396239911</v>
      </c>
      <c r="F59" s="285">
        <f t="shared" si="19"/>
        <v>-0.034661450857207454</v>
      </c>
      <c r="G59" s="285">
        <f t="shared" si="19"/>
        <v>-0.036023290862001144</v>
      </c>
      <c r="H59" s="285">
        <f t="shared" si="19"/>
        <v>-0.037528875237399895</v>
      </c>
      <c r="I59" s="526">
        <f t="shared" si="19"/>
        <v>-0.03670386778513797</v>
      </c>
      <c r="J59" s="527" t="e">
        <f t="shared" si="19"/>
        <v>#DIV/0!</v>
      </c>
      <c r="K59" s="285" t="e">
        <f t="shared" si="19"/>
        <v>#DIV/0!</v>
      </c>
      <c r="L59" s="285" t="e">
        <f t="shared" si="19"/>
        <v>#DIV/0!</v>
      </c>
      <c r="M59" s="285" t="e">
        <f t="shared" si="19"/>
        <v>#DIV/0!</v>
      </c>
      <c r="N59" s="285" t="e">
        <f t="shared" si="19"/>
        <v>#DIV/0!</v>
      </c>
      <c r="O59" s="285" t="e">
        <f t="shared" si="19"/>
        <v>#DIV/0!</v>
      </c>
    </row>
    <row r="60" spans="2:15" ht="12.75">
      <c r="B60" s="51"/>
      <c r="C60" s="153"/>
      <c r="D60" s="153"/>
      <c r="E60" s="153"/>
      <c r="F60" s="153"/>
      <c r="G60" s="153"/>
      <c r="H60" s="153"/>
      <c r="I60" s="528">
        <f>AVERAGE(C59:I59)</f>
        <v>-0.03608770255910604</v>
      </c>
      <c r="J60" s="153"/>
      <c r="K60" s="153"/>
      <c r="L60" s="153"/>
      <c r="M60" s="153"/>
      <c r="N60" s="153"/>
      <c r="O60" s="15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9" r:id="rId1"/>
  <rowBreaks count="1" manualBreakCount="1">
    <brk id="28" max="255" man="1"/>
  </rowBreaks>
  <ignoredErrors>
    <ignoredError sqref="J19:O28 J41:O44 J52:O59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zoomScale="85" zoomScaleNormal="85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6" sqref="D56"/>
    </sheetView>
  </sheetViews>
  <sheetFormatPr defaultColWidth="9.140625" defaultRowHeight="12.75"/>
  <cols>
    <col min="1" max="1" width="3.7109375" style="42" customWidth="1"/>
    <col min="2" max="2" width="45.7109375" style="42" customWidth="1"/>
    <col min="3" max="15" width="9.28125" style="42" customWidth="1"/>
    <col min="16" max="16384" width="11.421875" style="42" customWidth="1"/>
  </cols>
  <sheetData>
    <row r="1" spans="2:15" ht="27" customHeight="1">
      <c r="B1" s="268" t="s">
        <v>292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2.75">
      <c r="B2" s="66"/>
      <c r="C2" s="164"/>
      <c r="D2" s="67"/>
      <c r="E2" s="67"/>
      <c r="F2" s="164"/>
      <c r="G2" s="67"/>
      <c r="H2" s="67"/>
      <c r="I2" s="67"/>
      <c r="J2" s="67"/>
      <c r="K2" s="67"/>
      <c r="L2" s="67"/>
      <c r="M2" s="67"/>
      <c r="N2" s="67"/>
      <c r="O2" s="67"/>
    </row>
    <row r="3" spans="2:15" ht="12.75">
      <c r="B3" s="117" t="s">
        <v>83</v>
      </c>
      <c r="C3" s="231">
        <v>1998</v>
      </c>
      <c r="D3" s="231">
        <v>1999</v>
      </c>
      <c r="E3" s="231">
        <v>2000</v>
      </c>
      <c r="F3" s="231">
        <v>2001</v>
      </c>
      <c r="G3" s="231">
        <v>2002</v>
      </c>
      <c r="H3" s="231">
        <v>2003</v>
      </c>
      <c r="I3" s="232">
        <v>2004</v>
      </c>
      <c r="J3" s="233">
        <v>2005</v>
      </c>
      <c r="K3" s="231">
        <v>2006</v>
      </c>
      <c r="L3" s="231">
        <v>2007</v>
      </c>
      <c r="M3" s="231">
        <v>2008</v>
      </c>
      <c r="N3" s="231">
        <v>2009</v>
      </c>
      <c r="O3" s="231">
        <v>2010</v>
      </c>
    </row>
    <row r="4" spans="2:15" ht="12.75">
      <c r="B4" s="3" t="s">
        <v>84</v>
      </c>
      <c r="C4" s="335">
        <f>Outputs!C16+Outputs!C17</f>
        <v>750028</v>
      </c>
      <c r="D4" s="335">
        <f>Outputs!D16+Outputs!D17</f>
        <v>39902</v>
      </c>
      <c r="E4" s="335">
        <f>Outputs!E16+Outputs!E17</f>
        <v>931315</v>
      </c>
      <c r="F4" s="335">
        <f>Outputs!F16+Outputs!F17</f>
        <v>66267</v>
      </c>
      <c r="G4" s="335">
        <f>Outputs!G16+Outputs!G17</f>
        <v>205791</v>
      </c>
      <c r="H4" s="335">
        <f>Outputs!H16+Outputs!H17</f>
        <v>505583</v>
      </c>
      <c r="I4" s="336">
        <f>Outputs!I16+Outputs!I17</f>
        <v>210429</v>
      </c>
      <c r="J4" s="337">
        <f>Outputs!J16+Outputs!J17</f>
        <v>0</v>
      </c>
      <c r="K4" s="335">
        <f>Outputs!K16+Outputs!K17</f>
        <v>0</v>
      </c>
      <c r="L4" s="335">
        <f>Outputs!L16+Outputs!L17</f>
        <v>0</v>
      </c>
      <c r="M4" s="335">
        <f>Outputs!M16+Outputs!M17</f>
        <v>0</v>
      </c>
      <c r="N4" s="335">
        <f>Outputs!N16+Outputs!N17</f>
        <v>0</v>
      </c>
      <c r="O4" s="335">
        <f>Outputs!O16+Outputs!O17</f>
        <v>0</v>
      </c>
    </row>
    <row r="5" spans="2:15" ht="12.75">
      <c r="B5" s="3" t="s">
        <v>85</v>
      </c>
      <c r="C5" s="338">
        <f>'Labor Q&amp;P'!C9</f>
        <v>20017</v>
      </c>
      <c r="D5" s="338">
        <f>'Labor Q&amp;P'!D9</f>
        <v>36610</v>
      </c>
      <c r="E5" s="338">
        <f>'Labor Q&amp;P'!E9</f>
        <v>56999</v>
      </c>
      <c r="F5" s="338">
        <f>'Labor Q&amp;P'!F9</f>
        <v>56665</v>
      </c>
      <c r="G5" s="338">
        <f>'Labor Q&amp;P'!G9</f>
        <v>857</v>
      </c>
      <c r="H5" s="338">
        <f>'Labor Q&amp;P'!H9</f>
        <v>454747</v>
      </c>
      <c r="I5" s="339">
        <f>'Labor Q&amp;P'!I9</f>
        <v>189</v>
      </c>
      <c r="J5" s="340">
        <f>'Labor Q&amp;P'!J9</f>
        <v>0</v>
      </c>
      <c r="K5" s="338">
        <f>'Labor Q&amp;P'!K9</f>
        <v>0</v>
      </c>
      <c r="L5" s="338">
        <f>'Labor Q&amp;P'!L9</f>
        <v>0</v>
      </c>
      <c r="M5" s="338">
        <f>'Labor Q&amp;P'!M9</f>
        <v>0</v>
      </c>
      <c r="N5" s="338">
        <f>'Labor Q&amp;P'!N9</f>
        <v>0</v>
      </c>
      <c r="O5" s="338">
        <f>'Labor Q&amp;P'!O9</f>
        <v>0</v>
      </c>
    </row>
    <row r="6" spans="2:15" ht="12.75">
      <c r="B6" s="3" t="s">
        <v>86</v>
      </c>
      <c r="C6" s="457">
        <f>Materials!C23</f>
        <v>244636</v>
      </c>
      <c r="D6" s="338">
        <f>Materials!D23</f>
        <v>569399</v>
      </c>
      <c r="E6" s="338">
        <f>Materials!E23</f>
        <v>827044</v>
      </c>
      <c r="F6" s="338">
        <f>Materials!F23</f>
        <v>215126</v>
      </c>
      <c r="G6" s="338">
        <f>Materials!G23</f>
        <v>502561</v>
      </c>
      <c r="H6" s="338">
        <f>Materials!H23</f>
        <v>325112</v>
      </c>
      <c r="I6" s="339">
        <f>Materials!I23</f>
        <v>536138</v>
      </c>
      <c r="J6" s="340">
        <f>Materials!J23</f>
        <v>0</v>
      </c>
      <c r="K6" s="338">
        <f>Materials!K23</f>
        <v>0</v>
      </c>
      <c r="L6" s="338">
        <f>Materials!L23</f>
        <v>0</v>
      </c>
      <c r="M6" s="338">
        <f>Materials!M23</f>
        <v>0</v>
      </c>
      <c r="N6" s="338">
        <f>Materials!N23</f>
        <v>0</v>
      </c>
      <c r="O6" s="338">
        <f>Materials!O23</f>
        <v>0</v>
      </c>
    </row>
    <row r="7" spans="2:15" ht="12.75">
      <c r="B7" s="3" t="s">
        <v>61</v>
      </c>
      <c r="C7" s="458">
        <f>'Capital Input Data'!C54+'Capital Input Data'!C53-'Capital Input Data'!C52</f>
        <v>51141.5</v>
      </c>
      <c r="D7" s="458">
        <f>'Capital Input Data'!D53+'Capital Input Data'!D54-'Capital Input Data'!C54-'Capital Input Data'!D52</f>
        <v>57539</v>
      </c>
      <c r="E7" s="458">
        <f>'Capital Input Data'!E53+'Capital Input Data'!E54-'Capital Input Data'!D54-'Capital Input Data'!E52</f>
        <v>36044.5</v>
      </c>
      <c r="F7" s="458">
        <f>'Capital Input Data'!F53+'Capital Input Data'!F54-'Capital Input Data'!E54-'Capital Input Data'!F52</f>
        <v>14296</v>
      </c>
      <c r="G7" s="458">
        <f>'Capital Input Data'!G53+'Capital Input Data'!G54-'Capital Input Data'!F54-'Capital Input Data'!G52</f>
        <v>-92647</v>
      </c>
      <c r="H7" s="458">
        <f>'Capital Input Data'!H53+'Capital Input Data'!H54-'Capital Input Data'!G54-'Capital Input Data'!H52</f>
        <v>112967</v>
      </c>
      <c r="I7" s="459">
        <f>'Capital Input Data'!I53+'Capital Input Data'!I54-'Capital Input Data'!H54-'Capital Input Data'!I52</f>
        <v>2039</v>
      </c>
      <c r="J7" s="340">
        <f>'Capital Input Data'!J53+'Capital Input Data'!J54-'Capital Input Data'!I54-'Capital Input Data'!J52</f>
        <v>-114706</v>
      </c>
      <c r="K7" s="338">
        <f>'Capital Input Data'!K53+'Capital Input Data'!K54-'Capital Input Data'!J54-'Capital Input Data'!K52</f>
        <v>0</v>
      </c>
      <c r="L7" s="338">
        <f>'Capital Input Data'!L53+'Capital Input Data'!L54-'Capital Input Data'!K54-'Capital Input Data'!L52</f>
        <v>0</v>
      </c>
      <c r="M7" s="338">
        <f>'Capital Input Data'!M53+'Capital Input Data'!M54-'Capital Input Data'!L54-'Capital Input Data'!M52</f>
        <v>0</v>
      </c>
      <c r="N7" s="338">
        <f>'Capital Input Data'!N53+'Capital Input Data'!N54-'Capital Input Data'!M54-'Capital Input Data'!N52</f>
        <v>0</v>
      </c>
      <c r="O7" s="338">
        <f>'Capital Input Data'!O53+'Capital Input Data'!O54-'Capital Input Data'!N54-'Capital Input Data'!O52</f>
        <v>0</v>
      </c>
    </row>
    <row r="8" spans="2:15" ht="12.75">
      <c r="B8" s="3" t="s">
        <v>57</v>
      </c>
      <c r="C8" s="458">
        <f>Materials!C4</f>
        <v>587</v>
      </c>
      <c r="D8" s="458">
        <f>Materials!D4</f>
        <v>15248</v>
      </c>
      <c r="E8" s="458">
        <f>Materials!E4</f>
        <v>33</v>
      </c>
      <c r="F8" s="458">
        <f>Materials!F4</f>
        <v>664</v>
      </c>
      <c r="G8" s="458">
        <f>Materials!G4</f>
        <v>354</v>
      </c>
      <c r="H8" s="458">
        <f>Materials!H4</f>
        <v>37</v>
      </c>
      <c r="I8" s="459">
        <f>Materials!I4</f>
        <v>555</v>
      </c>
      <c r="J8" s="340">
        <f>Materials!J4</f>
        <v>0</v>
      </c>
      <c r="K8" s="338">
        <f>Materials!K4</f>
        <v>0</v>
      </c>
      <c r="L8" s="338">
        <f>Materials!L4</f>
        <v>0</v>
      </c>
      <c r="M8" s="338">
        <f>Materials!M4</f>
        <v>0</v>
      </c>
      <c r="N8" s="338">
        <f>Materials!N4</f>
        <v>0</v>
      </c>
      <c r="O8" s="338">
        <f>Materials!O4</f>
        <v>0</v>
      </c>
    </row>
    <row r="9" spans="2:15" ht="12.75">
      <c r="B9" s="3" t="s">
        <v>223</v>
      </c>
      <c r="C9" s="457">
        <f>C5+C6+C8</f>
        <v>265240</v>
      </c>
      <c r="D9" s="457">
        <f aca="true" t="shared" si="0" ref="D9:O9">D5+D6+D8</f>
        <v>621257</v>
      </c>
      <c r="E9" s="457">
        <f t="shared" si="0"/>
        <v>884076</v>
      </c>
      <c r="F9" s="457">
        <f t="shared" si="0"/>
        <v>272455</v>
      </c>
      <c r="G9" s="457">
        <f t="shared" si="0"/>
        <v>503772</v>
      </c>
      <c r="H9" s="457">
        <f t="shared" si="0"/>
        <v>779896</v>
      </c>
      <c r="I9" s="460">
        <f t="shared" si="0"/>
        <v>536882</v>
      </c>
      <c r="J9" s="461">
        <f t="shared" si="0"/>
        <v>0</v>
      </c>
      <c r="K9" s="457">
        <f t="shared" si="0"/>
        <v>0</v>
      </c>
      <c r="L9" s="457">
        <f t="shared" si="0"/>
        <v>0</v>
      </c>
      <c r="M9" s="457">
        <f t="shared" si="0"/>
        <v>0</v>
      </c>
      <c r="N9" s="457">
        <f t="shared" si="0"/>
        <v>0</v>
      </c>
      <c r="O9" s="457">
        <f t="shared" si="0"/>
        <v>0</v>
      </c>
    </row>
    <row r="10" spans="2:15" ht="12.75">
      <c r="B10" s="3" t="s">
        <v>87</v>
      </c>
      <c r="C10" s="457">
        <f>C4-C5-C6</f>
        <v>485375</v>
      </c>
      <c r="D10" s="338">
        <f aca="true" t="shared" si="1" ref="D10:O10">D4-D5-D6</f>
        <v>-566107</v>
      </c>
      <c r="E10" s="338">
        <f t="shared" si="1"/>
        <v>47272</v>
      </c>
      <c r="F10" s="338">
        <f t="shared" si="1"/>
        <v>-205524</v>
      </c>
      <c r="G10" s="338">
        <f t="shared" si="1"/>
        <v>-297627</v>
      </c>
      <c r="H10" s="338">
        <f t="shared" si="1"/>
        <v>-274276</v>
      </c>
      <c r="I10" s="339">
        <f t="shared" si="1"/>
        <v>-325898</v>
      </c>
      <c r="J10" s="340">
        <f t="shared" si="1"/>
        <v>0</v>
      </c>
      <c r="K10" s="338">
        <f t="shared" si="1"/>
        <v>0</v>
      </c>
      <c r="L10" s="338">
        <f t="shared" si="1"/>
        <v>0</v>
      </c>
      <c r="M10" s="338">
        <f t="shared" si="1"/>
        <v>0</v>
      </c>
      <c r="N10" s="338">
        <f t="shared" si="1"/>
        <v>0</v>
      </c>
      <c r="O10" s="338">
        <f t="shared" si="1"/>
        <v>0</v>
      </c>
    </row>
    <row r="11" spans="2:15" ht="12.75">
      <c r="B11" s="149" t="s">
        <v>88</v>
      </c>
      <c r="C11" s="462">
        <f>C10-C8</f>
        <v>484788</v>
      </c>
      <c r="D11" s="462">
        <f aca="true" t="shared" si="2" ref="D11:O11">D10-D8</f>
        <v>-581355</v>
      </c>
      <c r="E11" s="462">
        <f t="shared" si="2"/>
        <v>47239</v>
      </c>
      <c r="F11" s="462">
        <f t="shared" si="2"/>
        <v>-206188</v>
      </c>
      <c r="G11" s="462">
        <f t="shared" si="2"/>
        <v>-297981</v>
      </c>
      <c r="H11" s="462">
        <f t="shared" si="2"/>
        <v>-274313</v>
      </c>
      <c r="I11" s="463">
        <f t="shared" si="2"/>
        <v>-326453</v>
      </c>
      <c r="J11" s="340">
        <f t="shared" si="2"/>
        <v>0</v>
      </c>
      <c r="K11" s="338">
        <f t="shared" si="2"/>
        <v>0</v>
      </c>
      <c r="L11" s="338">
        <f t="shared" si="2"/>
        <v>0</v>
      </c>
      <c r="M11" s="338">
        <f t="shared" si="2"/>
        <v>0</v>
      </c>
      <c r="N11" s="338">
        <f t="shared" si="2"/>
        <v>0</v>
      </c>
      <c r="O11" s="338">
        <f t="shared" si="2"/>
        <v>0</v>
      </c>
    </row>
    <row r="12" spans="2:15" ht="12.75">
      <c r="B12" s="149" t="s">
        <v>224</v>
      </c>
      <c r="C12" s="462">
        <v>2109.6</v>
      </c>
      <c r="D12" s="462">
        <v>4796</v>
      </c>
      <c r="E12" s="462">
        <v>6375</v>
      </c>
      <c r="F12" s="462">
        <v>6014</v>
      </c>
      <c r="G12" s="462">
        <v>7994</v>
      </c>
      <c r="H12" s="462">
        <v>5439</v>
      </c>
      <c r="I12" s="463">
        <v>1643</v>
      </c>
      <c r="J12" s="340"/>
      <c r="K12" s="338"/>
      <c r="L12" s="338"/>
      <c r="M12" s="338"/>
      <c r="N12" s="338"/>
      <c r="O12" s="338"/>
    </row>
    <row r="13" spans="2:15" ht="12.75">
      <c r="B13" s="149" t="s">
        <v>89</v>
      </c>
      <c r="C13" s="462">
        <v>250.3</v>
      </c>
      <c r="D13" s="462">
        <v>3140</v>
      </c>
      <c r="E13" s="462">
        <v>1688</v>
      </c>
      <c r="F13" s="462">
        <v>1435</v>
      </c>
      <c r="G13" s="462">
        <v>759</v>
      </c>
      <c r="H13" s="462">
        <v>1365</v>
      </c>
      <c r="I13" s="463">
        <v>1852</v>
      </c>
      <c r="J13" s="340"/>
      <c r="K13" s="338"/>
      <c r="L13" s="338"/>
      <c r="M13" s="338"/>
      <c r="N13" s="338"/>
      <c r="O13" s="338"/>
    </row>
    <row r="14" spans="2:15" ht="12.75">
      <c r="B14" s="149" t="s">
        <v>90</v>
      </c>
      <c r="C14" s="462">
        <f>C12-C13</f>
        <v>1859.3</v>
      </c>
      <c r="D14" s="462">
        <f aca="true" t="shared" si="3" ref="D14:O14">D12-D13</f>
        <v>1656</v>
      </c>
      <c r="E14" s="462">
        <f t="shared" si="3"/>
        <v>4687</v>
      </c>
      <c r="F14" s="462">
        <f t="shared" si="3"/>
        <v>4579</v>
      </c>
      <c r="G14" s="462">
        <f t="shared" si="3"/>
        <v>7235</v>
      </c>
      <c r="H14" s="462">
        <f t="shared" si="3"/>
        <v>4074</v>
      </c>
      <c r="I14" s="463">
        <f t="shared" si="3"/>
        <v>-209</v>
      </c>
      <c r="J14" s="340">
        <f t="shared" si="3"/>
        <v>0</v>
      </c>
      <c r="K14" s="338">
        <f t="shared" si="3"/>
        <v>0</v>
      </c>
      <c r="L14" s="338">
        <f t="shared" si="3"/>
        <v>0</v>
      </c>
      <c r="M14" s="338">
        <f t="shared" si="3"/>
        <v>0</v>
      </c>
      <c r="N14" s="338">
        <f t="shared" si="3"/>
        <v>0</v>
      </c>
      <c r="O14" s="338">
        <f t="shared" si="3"/>
        <v>0</v>
      </c>
    </row>
    <row r="15" spans="2:15" ht="12.75">
      <c r="B15" s="149" t="s">
        <v>229</v>
      </c>
      <c r="C15" s="462">
        <f>1816.3-15.7</f>
        <v>1800.6</v>
      </c>
      <c r="D15" s="462">
        <f>407-54</f>
        <v>353</v>
      </c>
      <c r="E15" s="462">
        <v>3469</v>
      </c>
      <c r="F15" s="462">
        <v>5135</v>
      </c>
      <c r="G15" s="462">
        <v>3743</v>
      </c>
      <c r="H15" s="462">
        <v>3059</v>
      </c>
      <c r="I15" s="463">
        <v>1059</v>
      </c>
      <c r="J15" s="340"/>
      <c r="K15" s="338"/>
      <c r="L15" s="338"/>
      <c r="M15" s="338"/>
      <c r="N15" s="338"/>
      <c r="O15" s="338"/>
    </row>
    <row r="16" spans="2:15" ht="12.75">
      <c r="B16" s="149" t="s">
        <v>73</v>
      </c>
      <c r="C16" s="462">
        <f>1379.3-2325.1</f>
        <v>-945.8</v>
      </c>
      <c r="D16" s="462">
        <f>850-1088</f>
        <v>-238</v>
      </c>
      <c r="E16" s="462">
        <v>1828</v>
      </c>
      <c r="F16" s="462">
        <v>-4175</v>
      </c>
      <c r="G16" s="462">
        <v>220</v>
      </c>
      <c r="H16" s="462">
        <v>502</v>
      </c>
      <c r="I16" s="463">
        <v>75</v>
      </c>
      <c r="J16" s="340"/>
      <c r="K16" s="338"/>
      <c r="L16" s="338"/>
      <c r="M16" s="338"/>
      <c r="N16" s="338"/>
      <c r="O16" s="338"/>
    </row>
    <row r="17" spans="2:15" ht="12.75">
      <c r="B17" s="149" t="s">
        <v>91</v>
      </c>
      <c r="C17" s="464">
        <f>C16/(C11-C14)</f>
        <v>-0.001958467160887311</v>
      </c>
      <c r="D17" s="464">
        <f aca="true" t="shared" si="4" ref="D17:O17">D16/(D11-D14)</f>
        <v>0.0004082255737884877</v>
      </c>
      <c r="E17" s="464">
        <f t="shared" si="4"/>
        <v>0.04295920285768001</v>
      </c>
      <c r="F17" s="464">
        <f t="shared" si="4"/>
        <v>0.01980860381369</v>
      </c>
      <c r="G17" s="464">
        <f t="shared" si="4"/>
        <v>-0.0007208010065003146</v>
      </c>
      <c r="H17" s="464">
        <f t="shared" si="4"/>
        <v>-0.0018032451227966823</v>
      </c>
      <c r="I17" s="465">
        <f t="shared" si="4"/>
        <v>-0.0002298892853201898</v>
      </c>
      <c r="J17" s="466" t="e">
        <f t="shared" si="4"/>
        <v>#DIV/0!</v>
      </c>
      <c r="K17" s="467" t="e">
        <f t="shared" si="4"/>
        <v>#DIV/0!</v>
      </c>
      <c r="L17" s="467" t="e">
        <f t="shared" si="4"/>
        <v>#DIV/0!</v>
      </c>
      <c r="M17" s="467" t="e">
        <f t="shared" si="4"/>
        <v>#DIV/0!</v>
      </c>
      <c r="N17" s="467" t="e">
        <f t="shared" si="4"/>
        <v>#DIV/0!</v>
      </c>
      <c r="O17" s="467" t="e">
        <f t="shared" si="4"/>
        <v>#DIV/0!</v>
      </c>
    </row>
    <row r="18" spans="2:15" ht="12.75">
      <c r="B18" s="149" t="s">
        <v>92</v>
      </c>
      <c r="C18" s="462">
        <f>C11-C14+C15-C16</f>
        <v>485675.1</v>
      </c>
      <c r="D18" s="462">
        <f aca="true" t="shared" si="5" ref="D18:O18">D11-D14+D15-D16</f>
        <v>-582420</v>
      </c>
      <c r="E18" s="462">
        <f t="shared" si="5"/>
        <v>44193</v>
      </c>
      <c r="F18" s="462">
        <f t="shared" si="5"/>
        <v>-201457</v>
      </c>
      <c r="G18" s="462">
        <f t="shared" si="5"/>
        <v>-301693</v>
      </c>
      <c r="H18" s="462">
        <f t="shared" si="5"/>
        <v>-275830</v>
      </c>
      <c r="I18" s="463">
        <f t="shared" si="5"/>
        <v>-325260</v>
      </c>
      <c r="J18" s="340">
        <f t="shared" si="5"/>
        <v>0</v>
      </c>
      <c r="K18" s="338">
        <f t="shared" si="5"/>
        <v>0</v>
      </c>
      <c r="L18" s="338">
        <f t="shared" si="5"/>
        <v>0</v>
      </c>
      <c r="M18" s="338">
        <f t="shared" si="5"/>
        <v>0</v>
      </c>
      <c r="N18" s="338">
        <f t="shared" si="5"/>
        <v>0</v>
      </c>
      <c r="O18" s="338">
        <f t="shared" si="5"/>
        <v>0</v>
      </c>
    </row>
    <row r="19" spans="2:15" ht="12.75">
      <c r="B19" s="149" t="s">
        <v>93</v>
      </c>
      <c r="C19" s="711">
        <v>321321</v>
      </c>
      <c r="D19" s="711">
        <v>34324</v>
      </c>
      <c r="E19" s="711">
        <v>4534</v>
      </c>
      <c r="F19" s="711">
        <v>45435</v>
      </c>
      <c r="G19" s="711">
        <v>454354</v>
      </c>
      <c r="H19" s="711">
        <v>435345</v>
      </c>
      <c r="I19" s="712">
        <v>4534</v>
      </c>
      <c r="J19" s="340"/>
      <c r="K19" s="338"/>
      <c r="L19" s="338"/>
      <c r="M19" s="338"/>
      <c r="N19" s="338"/>
      <c r="O19" s="338"/>
    </row>
    <row r="20" spans="2:15" ht="12.75">
      <c r="B20" s="149" t="s">
        <v>94</v>
      </c>
      <c r="C20" s="711">
        <v>21</v>
      </c>
      <c r="D20" s="711">
        <v>3424</v>
      </c>
      <c r="E20" s="711">
        <v>432</v>
      </c>
      <c r="F20" s="711">
        <v>453</v>
      </c>
      <c r="G20" s="711">
        <v>453</v>
      </c>
      <c r="H20" s="711">
        <v>543</v>
      </c>
      <c r="I20" s="712">
        <v>35</v>
      </c>
      <c r="J20" s="340"/>
      <c r="K20" s="338"/>
      <c r="L20" s="338"/>
      <c r="M20" s="338"/>
      <c r="N20" s="338"/>
      <c r="O20" s="338"/>
    </row>
    <row r="21" spans="2:15" ht="12.75">
      <c r="B21" s="149" t="s">
        <v>95</v>
      </c>
      <c r="C21" s="26">
        <f>C20/(C20+C19)</f>
        <v>6.535093451836362E-05</v>
      </c>
      <c r="D21" s="26">
        <f aca="true" t="shared" si="6" ref="D21:O21">D20/(D20+D19)</f>
        <v>0.09070679241284306</v>
      </c>
      <c r="E21" s="26">
        <f t="shared" si="6"/>
        <v>0.08699154248892468</v>
      </c>
      <c r="F21" s="26">
        <f t="shared" si="6"/>
        <v>0.009871861924686193</v>
      </c>
      <c r="G21" s="26">
        <f t="shared" si="6"/>
        <v>0.000996026886129721</v>
      </c>
      <c r="H21" s="26">
        <f t="shared" si="6"/>
        <v>0.0012457328488051976</v>
      </c>
      <c r="I21" s="165">
        <f t="shared" si="6"/>
        <v>0.007660319544758153</v>
      </c>
      <c r="J21" s="76" t="e">
        <f t="shared" si="6"/>
        <v>#DIV/0!</v>
      </c>
      <c r="K21" s="57" t="e">
        <f t="shared" si="6"/>
        <v>#DIV/0!</v>
      </c>
      <c r="L21" s="57" t="e">
        <f t="shared" si="6"/>
        <v>#DIV/0!</v>
      </c>
      <c r="M21" s="57" t="e">
        <f t="shared" si="6"/>
        <v>#DIV/0!</v>
      </c>
      <c r="N21" s="57" t="e">
        <f t="shared" si="6"/>
        <v>#DIV/0!</v>
      </c>
      <c r="O21" s="57" t="e">
        <f t="shared" si="6"/>
        <v>#DIV/0!</v>
      </c>
    </row>
    <row r="22" spans="2:15" ht="12.75">
      <c r="B22" s="234" t="s">
        <v>96</v>
      </c>
      <c r="C22" s="236"/>
      <c r="D22" s="236">
        <f>D18/C19</f>
        <v>-1.812579943421065</v>
      </c>
      <c r="E22" s="236">
        <f aca="true" t="shared" si="7" ref="E22:O22">E18/D19</f>
        <v>1.2875247640135183</v>
      </c>
      <c r="F22" s="236">
        <f t="shared" si="7"/>
        <v>-44.432509925011026</v>
      </c>
      <c r="G22" s="236">
        <f t="shared" si="7"/>
        <v>-6.64010124353472</v>
      </c>
      <c r="H22" s="236">
        <f t="shared" si="7"/>
        <v>-0.6070817028132249</v>
      </c>
      <c r="I22" s="243">
        <f t="shared" si="7"/>
        <v>-0.7471315852944217</v>
      </c>
      <c r="J22" s="241">
        <f t="shared" si="7"/>
        <v>0</v>
      </c>
      <c r="K22" s="239" t="e">
        <f t="shared" si="7"/>
        <v>#DIV/0!</v>
      </c>
      <c r="L22" s="239" t="e">
        <f t="shared" si="7"/>
        <v>#DIV/0!</v>
      </c>
      <c r="M22" s="239" t="e">
        <f t="shared" si="7"/>
        <v>#DIV/0!</v>
      </c>
      <c r="N22" s="239" t="e">
        <f t="shared" si="7"/>
        <v>#DIV/0!</v>
      </c>
      <c r="O22" s="239" t="e">
        <f t="shared" si="7"/>
        <v>#DIV/0!</v>
      </c>
    </row>
    <row r="23" spans="2:15" ht="12.75">
      <c r="B23" s="48"/>
      <c r="C23" s="146"/>
      <c r="D23" s="146"/>
      <c r="E23" s="146"/>
      <c r="F23" s="146"/>
      <c r="G23" s="146"/>
      <c r="H23" s="146"/>
      <c r="I23" s="86"/>
      <c r="J23" s="6"/>
      <c r="K23" s="6"/>
      <c r="L23" s="6"/>
      <c r="M23" s="6"/>
      <c r="N23" s="6"/>
      <c r="O23" s="6"/>
    </row>
    <row r="24" spans="2:15" ht="12.75">
      <c r="B24" s="37" t="s">
        <v>231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2:15" ht="12.75">
      <c r="B25" s="3" t="s">
        <v>87</v>
      </c>
      <c r="C25" s="335">
        <f aca="true" t="shared" si="8" ref="C25:H25">C10</f>
        <v>485375</v>
      </c>
      <c r="D25" s="335">
        <f t="shared" si="8"/>
        <v>-566107</v>
      </c>
      <c r="E25" s="335">
        <f t="shared" si="8"/>
        <v>47272</v>
      </c>
      <c r="F25" s="335">
        <f t="shared" si="8"/>
        <v>-205524</v>
      </c>
      <c r="G25" s="335">
        <f t="shared" si="8"/>
        <v>-297627</v>
      </c>
      <c r="H25" s="335">
        <f t="shared" si="8"/>
        <v>-274276</v>
      </c>
      <c r="I25" s="336">
        <f>I10</f>
        <v>-325898</v>
      </c>
      <c r="J25" s="337">
        <f aca="true" t="shared" si="9" ref="J25:O25">J10</f>
        <v>0</v>
      </c>
      <c r="K25" s="335">
        <f t="shared" si="9"/>
        <v>0</v>
      </c>
      <c r="L25" s="335">
        <f t="shared" si="9"/>
        <v>0</v>
      </c>
      <c r="M25" s="335">
        <f t="shared" si="9"/>
        <v>0</v>
      </c>
      <c r="N25" s="335">
        <f t="shared" si="9"/>
        <v>0</v>
      </c>
      <c r="O25" s="335">
        <f t="shared" si="9"/>
        <v>0</v>
      </c>
    </row>
    <row r="26" spans="2:15" ht="12.75">
      <c r="B26" s="3" t="s">
        <v>88</v>
      </c>
      <c r="C26" s="468">
        <f>C25-C8</f>
        <v>484788</v>
      </c>
      <c r="D26" s="468">
        <f aca="true" t="shared" si="10" ref="D26:I26">D25-D8</f>
        <v>-581355</v>
      </c>
      <c r="E26" s="468">
        <f t="shared" si="10"/>
        <v>47239</v>
      </c>
      <c r="F26" s="468">
        <f t="shared" si="10"/>
        <v>-206188</v>
      </c>
      <c r="G26" s="468">
        <f t="shared" si="10"/>
        <v>-297981</v>
      </c>
      <c r="H26" s="468">
        <f t="shared" si="10"/>
        <v>-274313</v>
      </c>
      <c r="I26" s="469">
        <f t="shared" si="10"/>
        <v>-326453</v>
      </c>
      <c r="J26" s="371">
        <f aca="true" t="shared" si="11" ref="J26:O26">J25-J8</f>
        <v>0</v>
      </c>
      <c r="K26" s="370">
        <f t="shared" si="11"/>
        <v>0</v>
      </c>
      <c r="L26" s="370">
        <f t="shared" si="11"/>
        <v>0</v>
      </c>
      <c r="M26" s="370">
        <f t="shared" si="11"/>
        <v>0</v>
      </c>
      <c r="N26" s="370">
        <f t="shared" si="11"/>
        <v>0</v>
      </c>
      <c r="O26" s="370">
        <f t="shared" si="11"/>
        <v>0</v>
      </c>
    </row>
    <row r="27" spans="2:15" ht="12.75">
      <c r="B27" s="3" t="s">
        <v>97</v>
      </c>
      <c r="C27" s="468">
        <f aca="true" t="shared" si="12" ref="C27:I27">C26-C14-C16</f>
        <v>483874.5</v>
      </c>
      <c r="D27" s="468">
        <f>D26-D14-D16</f>
        <v>-582773</v>
      </c>
      <c r="E27" s="468">
        <f t="shared" si="12"/>
        <v>40724</v>
      </c>
      <c r="F27" s="468">
        <f t="shared" si="12"/>
        <v>-206592</v>
      </c>
      <c r="G27" s="468">
        <f t="shared" si="12"/>
        <v>-305436</v>
      </c>
      <c r="H27" s="468">
        <f t="shared" si="12"/>
        <v>-278889</v>
      </c>
      <c r="I27" s="469">
        <f t="shared" si="12"/>
        <v>-326319</v>
      </c>
      <c r="J27" s="371">
        <f aca="true" t="shared" si="13" ref="J27:O27">J26-J14-J16</f>
        <v>0</v>
      </c>
      <c r="K27" s="370">
        <f t="shared" si="13"/>
        <v>0</v>
      </c>
      <c r="L27" s="370">
        <f t="shared" si="13"/>
        <v>0</v>
      </c>
      <c r="M27" s="370">
        <f t="shared" si="13"/>
        <v>0</v>
      </c>
      <c r="N27" s="370">
        <f t="shared" si="13"/>
        <v>0</v>
      </c>
      <c r="O27" s="370">
        <f t="shared" si="13"/>
        <v>0</v>
      </c>
    </row>
    <row r="28" spans="2:15" ht="12.75">
      <c r="B28" s="3" t="s">
        <v>227</v>
      </c>
      <c r="C28" s="166"/>
      <c r="D28" s="166">
        <f aca="true" t="shared" si="14" ref="D28:O28">D18/C19</f>
        <v>-1.812579943421065</v>
      </c>
      <c r="E28" s="166">
        <f t="shared" si="14"/>
        <v>1.2875247640135183</v>
      </c>
      <c r="F28" s="166">
        <f t="shared" si="14"/>
        <v>-44.432509925011026</v>
      </c>
      <c r="G28" s="166">
        <f t="shared" si="14"/>
        <v>-6.64010124353472</v>
      </c>
      <c r="H28" s="166">
        <f t="shared" si="14"/>
        <v>-0.6070817028132249</v>
      </c>
      <c r="I28" s="171">
        <f t="shared" si="14"/>
        <v>-0.7471315852944217</v>
      </c>
      <c r="J28" s="95">
        <f t="shared" si="14"/>
        <v>0</v>
      </c>
      <c r="K28" s="88" t="e">
        <f t="shared" si="14"/>
        <v>#DIV/0!</v>
      </c>
      <c r="L28" s="88" t="e">
        <f t="shared" si="14"/>
        <v>#DIV/0!</v>
      </c>
      <c r="M28" s="88" t="e">
        <f t="shared" si="14"/>
        <v>#DIV/0!</v>
      </c>
      <c r="N28" s="88" t="e">
        <f t="shared" si="14"/>
        <v>#DIV/0!</v>
      </c>
      <c r="O28" s="88" t="e">
        <f t="shared" si="14"/>
        <v>#DIV/0!</v>
      </c>
    </row>
    <row r="29" spans="2:15" ht="12.75">
      <c r="B29" s="273" t="s">
        <v>228</v>
      </c>
      <c r="C29" s="388"/>
      <c r="D29" s="271">
        <f aca="true" t="shared" si="15" ref="D29:I29">(D11+D13)/(C19+C20)</f>
        <v>-1.7993757429778865</v>
      </c>
      <c r="E29" s="271">
        <f t="shared" si="15"/>
        <v>1.2961481402988237</v>
      </c>
      <c r="F29" s="271">
        <f t="shared" si="15"/>
        <v>-41.230970600080546</v>
      </c>
      <c r="G29" s="271">
        <f t="shared" si="15"/>
        <v>-6.47711820083682</v>
      </c>
      <c r="H29" s="271">
        <f t="shared" si="15"/>
        <v>-0.6001402792833004</v>
      </c>
      <c r="I29" s="274">
        <f t="shared" si="15"/>
        <v>-0.7446890026795874</v>
      </c>
      <c r="J29" s="270">
        <f aca="true" t="shared" si="16" ref="J29:O29">(J11+J13)/(I19+I20)</f>
        <v>0</v>
      </c>
      <c r="K29" s="271" t="e">
        <f t="shared" si="16"/>
        <v>#DIV/0!</v>
      </c>
      <c r="L29" s="271" t="e">
        <f t="shared" si="16"/>
        <v>#DIV/0!</v>
      </c>
      <c r="M29" s="271" t="e">
        <f t="shared" si="16"/>
        <v>#DIV/0!</v>
      </c>
      <c r="N29" s="271" t="e">
        <f t="shared" si="16"/>
        <v>#DIV/0!</v>
      </c>
      <c r="O29" s="271" t="e">
        <f t="shared" si="16"/>
        <v>#DIV/0!</v>
      </c>
    </row>
    <row r="30" spans="2:15" ht="12.75">
      <c r="B30" s="273" t="s">
        <v>225</v>
      </c>
      <c r="C30" s="388"/>
      <c r="D30" s="271">
        <f aca="true" t="shared" si="17" ref="D30:O30">(D11+D13-D16)/(C20+C19)</f>
        <v>-1.798635099053345</v>
      </c>
      <c r="E30" s="271">
        <f t="shared" si="17"/>
        <v>1.2477217336017803</v>
      </c>
      <c r="F30" s="271">
        <f t="shared" si="17"/>
        <v>-40.39025372533226</v>
      </c>
      <c r="G30" s="271">
        <f t="shared" si="17"/>
        <v>-6.481912482566249</v>
      </c>
      <c r="H30" s="271">
        <f t="shared" si="17"/>
        <v>-0.6012440441769805</v>
      </c>
      <c r="I30" s="274">
        <f t="shared" si="17"/>
        <v>-0.744861065227765</v>
      </c>
      <c r="J30" s="270">
        <f t="shared" si="17"/>
        <v>0</v>
      </c>
      <c r="K30" s="271" t="e">
        <f t="shared" si="17"/>
        <v>#DIV/0!</v>
      </c>
      <c r="L30" s="271" t="e">
        <f t="shared" si="17"/>
        <v>#DIV/0!</v>
      </c>
      <c r="M30" s="271" t="e">
        <f t="shared" si="17"/>
        <v>#DIV/0!</v>
      </c>
      <c r="N30" s="271" t="e">
        <f t="shared" si="17"/>
        <v>#DIV/0!</v>
      </c>
      <c r="O30" s="271" t="e">
        <f t="shared" si="17"/>
        <v>#DIV/0!</v>
      </c>
    </row>
    <row r="31" spans="2:15" ht="12.75">
      <c r="B31" s="273" t="s">
        <v>226</v>
      </c>
      <c r="C31" s="388"/>
      <c r="D31" s="271">
        <f aca="true" t="shared" si="18" ref="D31:O31">(D18+D12)/(C19+C20)</f>
        <v>-1.797536580963584</v>
      </c>
      <c r="E31" s="271">
        <f t="shared" si="18"/>
        <v>1.3396206421532266</v>
      </c>
      <c r="F31" s="271">
        <f t="shared" si="18"/>
        <v>-39.35622231171969</v>
      </c>
      <c r="G31" s="271">
        <f t="shared" si="18"/>
        <v>-6.400344316596931</v>
      </c>
      <c r="H31" s="271">
        <f t="shared" si="18"/>
        <v>-0.594518114277045</v>
      </c>
      <c r="I31" s="274">
        <f t="shared" si="18"/>
        <v>-0.7424315420474984</v>
      </c>
      <c r="J31" s="270">
        <f t="shared" si="18"/>
        <v>0</v>
      </c>
      <c r="K31" s="271" t="e">
        <f t="shared" si="18"/>
        <v>#DIV/0!</v>
      </c>
      <c r="L31" s="271" t="e">
        <f t="shared" si="18"/>
        <v>#DIV/0!</v>
      </c>
      <c r="M31" s="271" t="e">
        <f t="shared" si="18"/>
        <v>#DIV/0!</v>
      </c>
      <c r="N31" s="271" t="e">
        <f t="shared" si="18"/>
        <v>#DIV/0!</v>
      </c>
      <c r="O31" s="271" t="e">
        <f t="shared" si="18"/>
        <v>#DIV/0!</v>
      </c>
    </row>
    <row r="32" spans="2:16" ht="12.75">
      <c r="B32" s="273" t="s">
        <v>98</v>
      </c>
      <c r="C32" s="388"/>
      <c r="D32" s="271">
        <f>D18/'Capital stock'!C57</f>
        <v>-2.8912859197336016</v>
      </c>
      <c r="E32" s="271">
        <f>E18/'Capital stock'!D57</f>
        <v>0.2270179189036979</v>
      </c>
      <c r="F32" s="271">
        <f>F18/'Capital stock'!E57</f>
        <v>-1.0743267763660989</v>
      </c>
      <c r="G32" s="271">
        <f>G18/'Capital stock'!F57</f>
        <v>-1.6656070417809596</v>
      </c>
      <c r="H32" s="271">
        <f>H18/'Capital stock'!G57</f>
        <v>-1.5786779043989694</v>
      </c>
      <c r="I32" s="274">
        <f>I18/'Capital stock'!H57</f>
        <v>-1.9327748784901657</v>
      </c>
      <c r="J32" s="270">
        <f>J18/'Capital stock'!I57</f>
        <v>0</v>
      </c>
      <c r="K32" s="271" t="e">
        <f>K18/'Capital stock'!J57</f>
        <v>#DIV/0!</v>
      </c>
      <c r="L32" s="271" t="e">
        <f>L18/'Capital stock'!K57</f>
        <v>#DIV/0!</v>
      </c>
      <c r="M32" s="271" t="e">
        <f>M18/'Capital stock'!L57</f>
        <v>#DIV/0!</v>
      </c>
      <c r="N32" s="271" t="e">
        <f>N18/'Capital stock'!M57</f>
        <v>#DIV/0!</v>
      </c>
      <c r="O32" s="271" t="e">
        <f>O18/'Capital stock'!N57</f>
        <v>#DIV/0!</v>
      </c>
      <c r="P32" s="272"/>
    </row>
    <row r="33" spans="2:15" ht="12.75">
      <c r="B33" s="275" t="s">
        <v>230</v>
      </c>
      <c r="C33" s="389"/>
      <c r="D33" s="276">
        <f aca="true" t="shared" si="19" ref="D33:O33">D12/C20</f>
        <v>228.38095238095238</v>
      </c>
      <c r="E33" s="276">
        <f t="shared" si="19"/>
        <v>1.861857476635514</v>
      </c>
      <c r="F33" s="276">
        <f t="shared" si="19"/>
        <v>13.921296296296296</v>
      </c>
      <c r="G33" s="276">
        <f t="shared" si="19"/>
        <v>17.646799116997794</v>
      </c>
      <c r="H33" s="276">
        <f t="shared" si="19"/>
        <v>12.006622516556291</v>
      </c>
      <c r="I33" s="277">
        <f t="shared" si="19"/>
        <v>3.0257826887661143</v>
      </c>
      <c r="J33" s="278">
        <f t="shared" si="19"/>
        <v>0</v>
      </c>
      <c r="K33" s="276" t="e">
        <f t="shared" si="19"/>
        <v>#DIV/0!</v>
      </c>
      <c r="L33" s="276" t="e">
        <f t="shared" si="19"/>
        <v>#DIV/0!</v>
      </c>
      <c r="M33" s="276" t="e">
        <f t="shared" si="19"/>
        <v>#DIV/0!</v>
      </c>
      <c r="N33" s="276" t="e">
        <f t="shared" si="19"/>
        <v>#DIV/0!</v>
      </c>
      <c r="O33" s="276" t="e">
        <f t="shared" si="19"/>
        <v>#DIV/0!</v>
      </c>
    </row>
    <row r="34" spans="2:15" ht="12.75">
      <c r="B34" s="20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2:15" ht="12.75">
      <c r="B35" s="204" t="s">
        <v>274</v>
      </c>
      <c r="C35" s="73"/>
      <c r="D35" s="73"/>
      <c r="E35" s="73"/>
      <c r="F35" s="73"/>
      <c r="G35" s="73"/>
      <c r="H35" s="73"/>
      <c r="I35" s="167"/>
      <c r="J35" s="73"/>
      <c r="K35" s="73"/>
      <c r="L35" s="73"/>
      <c r="M35" s="73"/>
      <c r="N35" s="73"/>
      <c r="O35" s="73"/>
    </row>
    <row r="36" spans="2:15" ht="12.75">
      <c r="B36" s="112" t="s">
        <v>263</v>
      </c>
      <c r="C36" s="470">
        <f aca="true" t="shared" si="20" ref="C36:I36">C10</f>
        <v>485375</v>
      </c>
      <c r="D36" s="470">
        <f t="shared" si="20"/>
        <v>-566107</v>
      </c>
      <c r="E36" s="470">
        <f t="shared" si="20"/>
        <v>47272</v>
      </c>
      <c r="F36" s="470">
        <f t="shared" si="20"/>
        <v>-205524</v>
      </c>
      <c r="G36" s="470">
        <f t="shared" si="20"/>
        <v>-297627</v>
      </c>
      <c r="H36" s="470">
        <f t="shared" si="20"/>
        <v>-274276</v>
      </c>
      <c r="I36" s="471">
        <f t="shared" si="20"/>
        <v>-325898</v>
      </c>
      <c r="J36" s="472">
        <f aca="true" t="shared" si="21" ref="J36:O36">J10</f>
        <v>0</v>
      </c>
      <c r="K36" s="450">
        <f t="shared" si="21"/>
        <v>0</v>
      </c>
      <c r="L36" s="450">
        <f t="shared" si="21"/>
        <v>0</v>
      </c>
      <c r="M36" s="450">
        <f t="shared" si="21"/>
        <v>0</v>
      </c>
      <c r="N36" s="450">
        <f t="shared" si="21"/>
        <v>0</v>
      </c>
      <c r="O36" s="450">
        <f t="shared" si="21"/>
        <v>0</v>
      </c>
    </row>
    <row r="37" spans="2:15" ht="12.75">
      <c r="B37" s="168" t="s">
        <v>99</v>
      </c>
      <c r="C37" s="473">
        <f>'Labor Q&amp;P'!C10</f>
        <v>20017</v>
      </c>
      <c r="D37" s="473">
        <f>'Labor Q&amp;P'!D10</f>
        <v>36610</v>
      </c>
      <c r="E37" s="473">
        <f>'Labor Q&amp;P'!E10</f>
        <v>56999</v>
      </c>
      <c r="F37" s="473">
        <f>'Labor Q&amp;P'!F10</f>
        <v>56665</v>
      </c>
      <c r="G37" s="473">
        <f>'Labor Q&amp;P'!G10</f>
        <v>769</v>
      </c>
      <c r="H37" s="473">
        <f>'Labor Q&amp;P'!H10</f>
        <v>454690</v>
      </c>
      <c r="I37" s="474">
        <f>'Labor Q&amp;P'!I10</f>
        <v>156</v>
      </c>
      <c r="J37" s="475">
        <f>'Labor Q&amp;P'!J10</f>
        <v>0</v>
      </c>
      <c r="K37" s="451">
        <f>'Labor Q&amp;P'!K10</f>
        <v>0</v>
      </c>
      <c r="L37" s="451">
        <f>'Labor Q&amp;P'!L10</f>
        <v>0</v>
      </c>
      <c r="M37" s="451">
        <f>'Labor Q&amp;P'!M10</f>
        <v>0</v>
      </c>
      <c r="N37" s="451">
        <f>'Labor Q&amp;P'!N10</f>
        <v>0</v>
      </c>
      <c r="O37" s="451">
        <f>'Labor Q&amp;P'!O10</f>
        <v>0</v>
      </c>
    </row>
    <row r="38" spans="2:15" ht="12.75">
      <c r="B38" s="168" t="s">
        <v>100</v>
      </c>
      <c r="C38" s="473">
        <f>Materials!C23</f>
        <v>244636</v>
      </c>
      <c r="D38" s="473">
        <f>Materials!D23</f>
        <v>569399</v>
      </c>
      <c r="E38" s="473">
        <f>Materials!E23</f>
        <v>827044</v>
      </c>
      <c r="F38" s="473">
        <f>Materials!F23</f>
        <v>215126</v>
      </c>
      <c r="G38" s="473">
        <f>Materials!G23</f>
        <v>502561</v>
      </c>
      <c r="H38" s="473">
        <f>Materials!H23</f>
        <v>325112</v>
      </c>
      <c r="I38" s="474">
        <f>Materials!I23</f>
        <v>536138</v>
      </c>
      <c r="J38" s="475">
        <f>Materials!J23</f>
        <v>0</v>
      </c>
      <c r="K38" s="451">
        <f>Materials!K23</f>
        <v>0</v>
      </c>
      <c r="L38" s="451">
        <f>Materials!L23</f>
        <v>0</v>
      </c>
      <c r="M38" s="451">
        <f>Materials!M23</f>
        <v>0</v>
      </c>
      <c r="N38" s="451">
        <f>Materials!N23</f>
        <v>0</v>
      </c>
      <c r="O38" s="451">
        <f>Materials!O23</f>
        <v>0</v>
      </c>
    </row>
    <row r="39" spans="2:15" ht="12.75">
      <c r="B39" s="168" t="s">
        <v>101</v>
      </c>
      <c r="C39" s="473">
        <f aca="true" t="shared" si="22" ref="C39:O39">SUM(C36:C38)</f>
        <v>750028</v>
      </c>
      <c r="D39" s="473">
        <f t="shared" si="22"/>
        <v>39902</v>
      </c>
      <c r="E39" s="473">
        <f t="shared" si="22"/>
        <v>931315</v>
      </c>
      <c r="F39" s="473">
        <f t="shared" si="22"/>
        <v>66267</v>
      </c>
      <c r="G39" s="473">
        <f t="shared" si="22"/>
        <v>205703</v>
      </c>
      <c r="H39" s="473">
        <f t="shared" si="22"/>
        <v>505526</v>
      </c>
      <c r="I39" s="474">
        <f t="shared" si="22"/>
        <v>210396</v>
      </c>
      <c r="J39" s="476">
        <f t="shared" si="22"/>
        <v>0</v>
      </c>
      <c r="K39" s="451">
        <f t="shared" si="22"/>
        <v>0</v>
      </c>
      <c r="L39" s="451">
        <f t="shared" si="22"/>
        <v>0</v>
      </c>
      <c r="M39" s="451">
        <f t="shared" si="22"/>
        <v>0</v>
      </c>
      <c r="N39" s="451">
        <f t="shared" si="22"/>
        <v>0</v>
      </c>
      <c r="O39" s="451">
        <f t="shared" si="22"/>
        <v>0</v>
      </c>
    </row>
    <row r="40" spans="2:15" ht="12.75">
      <c r="B40" s="168" t="s">
        <v>236</v>
      </c>
      <c r="C40" s="210"/>
      <c r="D40" s="210"/>
      <c r="E40" s="210"/>
      <c r="F40" s="210"/>
      <c r="G40" s="210"/>
      <c r="H40" s="210"/>
      <c r="I40" s="211"/>
      <c r="J40" s="175">
        <v>0.1524</v>
      </c>
      <c r="K40" s="210"/>
      <c r="L40" s="210"/>
      <c r="M40" s="210"/>
      <c r="N40" s="210"/>
      <c r="O40" s="210"/>
    </row>
    <row r="41" spans="2:15" ht="12.75">
      <c r="B41" s="168" t="s">
        <v>243</v>
      </c>
      <c r="C41" s="212">
        <f>'Price Indices'!C39</f>
        <v>0.569</v>
      </c>
      <c r="D41" s="212">
        <f>'Price Indices'!D39</f>
        <v>0.659</v>
      </c>
      <c r="E41" s="212">
        <f>'Price Indices'!E39</f>
        <v>0.5321</v>
      </c>
      <c r="F41" s="212">
        <f>'Price Indices'!F39</f>
        <v>0.4574</v>
      </c>
      <c r="G41" s="212">
        <f>'Price Indices'!G39</f>
        <v>0.3665</v>
      </c>
      <c r="H41" s="212">
        <f>'Price Indices'!H39</f>
        <v>0.2619</v>
      </c>
      <c r="I41" s="211">
        <f>'Price Indices'!I39</f>
        <v>0.2581</v>
      </c>
      <c r="J41" s="213">
        <f>'Price Indices'!J39</f>
        <v>0.1919</v>
      </c>
      <c r="K41" s="212"/>
      <c r="L41" s="212"/>
      <c r="M41" s="212"/>
      <c r="N41" s="212"/>
      <c r="O41" s="212"/>
    </row>
    <row r="42" spans="2:15" ht="12.75">
      <c r="B42" s="168" t="s">
        <v>61</v>
      </c>
      <c r="C42" s="477">
        <f>C8</f>
        <v>587</v>
      </c>
      <c r="D42" s="477">
        <f>D8</f>
        <v>15248</v>
      </c>
      <c r="E42" s="477">
        <f>E8</f>
        <v>33</v>
      </c>
      <c r="F42" s="477">
        <f aca="true" t="shared" si="23" ref="F42:O42">F8</f>
        <v>664</v>
      </c>
      <c r="G42" s="477">
        <f t="shared" si="23"/>
        <v>354</v>
      </c>
      <c r="H42" s="477">
        <f t="shared" si="23"/>
        <v>37</v>
      </c>
      <c r="I42" s="478">
        <f t="shared" si="23"/>
        <v>555</v>
      </c>
      <c r="J42" s="475">
        <f t="shared" si="23"/>
        <v>0</v>
      </c>
      <c r="K42" s="451">
        <f t="shared" si="23"/>
        <v>0</v>
      </c>
      <c r="L42" s="451">
        <f t="shared" si="23"/>
        <v>0</v>
      </c>
      <c r="M42" s="451">
        <f t="shared" si="23"/>
        <v>0</v>
      </c>
      <c r="N42" s="451">
        <f t="shared" si="23"/>
        <v>0</v>
      </c>
      <c r="O42" s="451">
        <f t="shared" si="23"/>
        <v>0</v>
      </c>
    </row>
    <row r="43" spans="2:15" ht="12.75">
      <c r="B43" s="256" t="s">
        <v>102</v>
      </c>
      <c r="C43" s="176">
        <f aca="true" t="shared" si="24" ref="C43:I43">C41/D41*D43</f>
        <v>0.4518791036998438</v>
      </c>
      <c r="D43" s="176">
        <f t="shared" si="24"/>
        <v>0.5233538301198543</v>
      </c>
      <c r="E43" s="176">
        <f t="shared" si="24"/>
        <v>0.4225744658676395</v>
      </c>
      <c r="F43" s="176">
        <f t="shared" si="24"/>
        <v>0.3632504429390308</v>
      </c>
      <c r="G43" s="176">
        <f t="shared" si="24"/>
        <v>0.2910609692548203</v>
      </c>
      <c r="H43" s="176">
        <f t="shared" si="24"/>
        <v>0.2079914538822304</v>
      </c>
      <c r="I43" s="177">
        <f t="shared" si="24"/>
        <v>0.20497363210005212</v>
      </c>
      <c r="J43" s="214">
        <f>J40</f>
        <v>0.1524</v>
      </c>
      <c r="K43" s="390" t="e">
        <f>J43*K42/J42</f>
        <v>#DIV/0!</v>
      </c>
      <c r="L43" s="390" t="e">
        <f>K43*L42/K42</f>
        <v>#DIV/0!</v>
      </c>
      <c r="M43" s="390" t="e">
        <f>L43*M42/L42</f>
        <v>#DIV/0!</v>
      </c>
      <c r="N43" s="390" t="e">
        <f>M43*N42/M42</f>
        <v>#DIV/0!</v>
      </c>
      <c r="O43" s="390" t="e">
        <f>N43*O42/N42</f>
        <v>#DIV/0!</v>
      </c>
    </row>
    <row r="44" spans="2:15" ht="12.75">
      <c r="B44" s="97" t="s">
        <v>235</v>
      </c>
      <c r="C44" s="479">
        <f>C43*(7572.4+9933.8)</f>
        <v>7910.685965190204</v>
      </c>
      <c r="D44" s="479">
        <f aca="true" t="shared" si="25" ref="D44:O44">D43*(C20+C19)</f>
        <v>168175.5664783742</v>
      </c>
      <c r="E44" s="479">
        <f t="shared" si="25"/>
        <v>15951.340937571656</v>
      </c>
      <c r="F44" s="479">
        <f t="shared" si="25"/>
        <v>1803.901699635227</v>
      </c>
      <c r="G44" s="479">
        <f t="shared" si="25"/>
        <v>13356.205757165193</v>
      </c>
      <c r="H44" s="479">
        <f t="shared" si="25"/>
        <v>94595.96916581556</v>
      </c>
      <c r="I44" s="480">
        <f t="shared" si="25"/>
        <v>89345.54654882752</v>
      </c>
      <c r="J44" s="481">
        <f t="shared" si="25"/>
        <v>696.3156</v>
      </c>
      <c r="K44" s="479" t="e">
        <f t="shared" si="25"/>
        <v>#DIV/0!</v>
      </c>
      <c r="L44" s="479" t="e">
        <f t="shared" si="25"/>
        <v>#DIV/0!</v>
      </c>
      <c r="M44" s="479" t="e">
        <f t="shared" si="25"/>
        <v>#DIV/0!</v>
      </c>
      <c r="N44" s="479" t="e">
        <f t="shared" si="25"/>
        <v>#DIV/0!</v>
      </c>
      <c r="O44" s="479" t="e">
        <f t="shared" si="25"/>
        <v>#DIV/0!</v>
      </c>
    </row>
    <row r="45" spans="2:15" ht="12.75">
      <c r="B45" s="172" t="s">
        <v>237</v>
      </c>
      <c r="C45" s="482">
        <f aca="true" t="shared" si="26" ref="C45:O45">C44-C11</f>
        <v>-476877.3140348098</v>
      </c>
      <c r="D45" s="482">
        <f t="shared" si="26"/>
        <v>749530.5664783742</v>
      </c>
      <c r="E45" s="482">
        <f t="shared" si="26"/>
        <v>-31287.65906242834</v>
      </c>
      <c r="F45" s="482">
        <f t="shared" si="26"/>
        <v>207991.90169963523</v>
      </c>
      <c r="G45" s="482">
        <f t="shared" si="26"/>
        <v>311337.2057571652</v>
      </c>
      <c r="H45" s="482">
        <f t="shared" si="26"/>
        <v>368908.96916581556</v>
      </c>
      <c r="I45" s="483">
        <f t="shared" si="26"/>
        <v>415798.54654882755</v>
      </c>
      <c r="J45" s="484">
        <f t="shared" si="26"/>
        <v>696.3156</v>
      </c>
      <c r="K45" s="482" t="e">
        <f t="shared" si="26"/>
        <v>#DIV/0!</v>
      </c>
      <c r="L45" s="482" t="e">
        <f t="shared" si="26"/>
        <v>#DIV/0!</v>
      </c>
      <c r="M45" s="482" t="e">
        <f t="shared" si="26"/>
        <v>#DIV/0!</v>
      </c>
      <c r="N45" s="482" t="e">
        <f t="shared" si="26"/>
        <v>#DIV/0!</v>
      </c>
      <c r="O45" s="482" t="e">
        <f t="shared" si="26"/>
        <v>#DIV/0!</v>
      </c>
    </row>
    <row r="46" spans="2:15" ht="12.75">
      <c r="B46" s="173" t="s">
        <v>239</v>
      </c>
      <c r="C46" s="485">
        <f>C41*'Capital stock'!C55</f>
        <v>82266.01999999999</v>
      </c>
      <c r="D46" s="485">
        <f>D41*'Capital stock'!C57</f>
        <v>132748.8151138522</v>
      </c>
      <c r="E46" s="485">
        <f>E41*'Capital stock'!D57</f>
        <v>103582.55160455072</v>
      </c>
      <c r="F46" s="485">
        <f>F41*'Capital stock'!E57</f>
        <v>85771.32565911139</v>
      </c>
      <c r="G46" s="485">
        <f>G41*'Capital stock'!F57</f>
        <v>66384.49629858186</v>
      </c>
      <c r="H46" s="485">
        <f>H41*'Capital stock'!G57</f>
        <v>45759.73148081971</v>
      </c>
      <c r="I46" s="486">
        <f>I41*'Capital stock'!H57</f>
        <v>43434.75638796551</v>
      </c>
      <c r="J46" s="487">
        <f>J41*'Capital stock'!I57</f>
        <v>31130.354980190084</v>
      </c>
      <c r="K46" s="485" t="e">
        <f>K41*'Capital stock'!J57</f>
        <v>#DIV/0!</v>
      </c>
      <c r="L46" s="485" t="e">
        <f>L41*'Capital stock'!K57</f>
        <v>#DIV/0!</v>
      </c>
      <c r="M46" s="485" t="e">
        <f>M41*'Capital stock'!L57</f>
        <v>#DIV/0!</v>
      </c>
      <c r="N46" s="485" t="e">
        <f>N41*'Capital stock'!M57</f>
        <v>#DIV/0!</v>
      </c>
      <c r="O46" s="485" t="e">
        <f>O41*'Capital stock'!N57</f>
        <v>#DIV/0!</v>
      </c>
    </row>
    <row r="47" spans="2:15" ht="12.75">
      <c r="B47" s="174" t="s">
        <v>237</v>
      </c>
      <c r="C47" s="488">
        <f aca="true" t="shared" si="27" ref="C47:O47">C11-C46</f>
        <v>402521.98</v>
      </c>
      <c r="D47" s="488">
        <f t="shared" si="27"/>
        <v>-714103.8151138523</v>
      </c>
      <c r="E47" s="488">
        <f t="shared" si="27"/>
        <v>-56343.551604550725</v>
      </c>
      <c r="F47" s="488">
        <f t="shared" si="27"/>
        <v>-291959.3256591114</v>
      </c>
      <c r="G47" s="488">
        <f t="shared" si="27"/>
        <v>-364365.4962985818</v>
      </c>
      <c r="H47" s="488">
        <f t="shared" si="27"/>
        <v>-320072.7314808197</v>
      </c>
      <c r="I47" s="489">
        <f t="shared" si="27"/>
        <v>-369887.7563879655</v>
      </c>
      <c r="J47" s="490">
        <f t="shared" si="27"/>
        <v>-31130.354980190084</v>
      </c>
      <c r="K47" s="488" t="e">
        <f t="shared" si="27"/>
        <v>#DIV/0!</v>
      </c>
      <c r="L47" s="488" t="e">
        <f t="shared" si="27"/>
        <v>#DIV/0!</v>
      </c>
      <c r="M47" s="488" t="e">
        <f t="shared" si="27"/>
        <v>#DIV/0!</v>
      </c>
      <c r="N47" s="488" t="e">
        <f t="shared" si="27"/>
        <v>#DIV/0!</v>
      </c>
      <c r="O47" s="488" t="e">
        <f t="shared" si="27"/>
        <v>#DIV/0!</v>
      </c>
    </row>
    <row r="48" spans="2:15" ht="12.75">
      <c r="B48" s="174" t="s">
        <v>240</v>
      </c>
      <c r="C48" s="491">
        <f aca="true" t="shared" si="28" ref="C48:I48">C46+C8</f>
        <v>82853.01999999999</v>
      </c>
      <c r="D48" s="491">
        <f t="shared" si="28"/>
        <v>147996.8151138522</v>
      </c>
      <c r="E48" s="491">
        <f t="shared" si="28"/>
        <v>103615.55160455072</v>
      </c>
      <c r="F48" s="491">
        <f t="shared" si="28"/>
        <v>86435.32565911139</v>
      </c>
      <c r="G48" s="491">
        <f t="shared" si="28"/>
        <v>66738.49629858186</v>
      </c>
      <c r="H48" s="491">
        <f t="shared" si="28"/>
        <v>45796.73148081971</v>
      </c>
      <c r="I48" s="492">
        <f t="shared" si="28"/>
        <v>43989.75638796551</v>
      </c>
      <c r="J48" s="493">
        <f aca="true" t="shared" si="29" ref="J48:O48">J46+J8</f>
        <v>31130.354980190084</v>
      </c>
      <c r="K48" s="491" t="e">
        <f t="shared" si="29"/>
        <v>#DIV/0!</v>
      </c>
      <c r="L48" s="491" t="e">
        <f t="shared" si="29"/>
        <v>#DIV/0!</v>
      </c>
      <c r="M48" s="491" t="e">
        <f t="shared" si="29"/>
        <v>#DIV/0!</v>
      </c>
      <c r="N48" s="491" t="e">
        <f t="shared" si="29"/>
        <v>#DIV/0!</v>
      </c>
      <c r="O48" s="491" t="e">
        <f t="shared" si="29"/>
        <v>#DIV/0!</v>
      </c>
    </row>
    <row r="49" spans="2:15" ht="12.75">
      <c r="B49" s="174" t="s">
        <v>241</v>
      </c>
      <c r="C49" s="491">
        <f aca="true" t="shared" si="30" ref="C49:O49">C48+C6+C5</f>
        <v>347506.02</v>
      </c>
      <c r="D49" s="491">
        <f t="shared" si="30"/>
        <v>754005.8151138523</v>
      </c>
      <c r="E49" s="491">
        <f t="shared" si="30"/>
        <v>987658.5516045507</v>
      </c>
      <c r="F49" s="491">
        <f t="shared" si="30"/>
        <v>358226.3256591114</v>
      </c>
      <c r="G49" s="491">
        <f t="shared" si="30"/>
        <v>570156.4962985818</v>
      </c>
      <c r="H49" s="491">
        <f t="shared" si="30"/>
        <v>825655.7314808196</v>
      </c>
      <c r="I49" s="492">
        <f t="shared" si="30"/>
        <v>580316.7563879655</v>
      </c>
      <c r="J49" s="493">
        <f t="shared" si="30"/>
        <v>31130.354980190084</v>
      </c>
      <c r="K49" s="491" t="e">
        <f t="shared" si="30"/>
        <v>#DIV/0!</v>
      </c>
      <c r="L49" s="491" t="e">
        <f t="shared" si="30"/>
        <v>#DIV/0!</v>
      </c>
      <c r="M49" s="491" t="e">
        <f t="shared" si="30"/>
        <v>#DIV/0!</v>
      </c>
      <c r="N49" s="491" t="e">
        <f t="shared" si="30"/>
        <v>#DIV/0!</v>
      </c>
      <c r="O49" s="491" t="e">
        <f t="shared" si="30"/>
        <v>#DIV/0!</v>
      </c>
    </row>
    <row r="50" spans="2:15" ht="12.75">
      <c r="B50" s="174" t="s">
        <v>242</v>
      </c>
      <c r="C50" s="491">
        <f aca="true" t="shared" si="31" ref="C50:O50">C4-C49</f>
        <v>402521.98</v>
      </c>
      <c r="D50" s="491">
        <f t="shared" si="31"/>
        <v>-714103.8151138523</v>
      </c>
      <c r="E50" s="491">
        <f t="shared" si="31"/>
        <v>-56343.55160455068</v>
      </c>
      <c r="F50" s="491">
        <f t="shared" si="31"/>
        <v>-291959.3256591114</v>
      </c>
      <c r="G50" s="491">
        <f t="shared" si="31"/>
        <v>-364365.4962985818</v>
      </c>
      <c r="H50" s="491">
        <f t="shared" si="31"/>
        <v>-320072.73148081964</v>
      </c>
      <c r="I50" s="492">
        <f t="shared" si="31"/>
        <v>-369887.7563879655</v>
      </c>
      <c r="J50" s="493">
        <f t="shared" si="31"/>
        <v>-31130.354980190084</v>
      </c>
      <c r="K50" s="491" t="e">
        <f t="shared" si="31"/>
        <v>#DIV/0!</v>
      </c>
      <c r="L50" s="491" t="e">
        <f t="shared" si="31"/>
        <v>#DIV/0!</v>
      </c>
      <c r="M50" s="491" t="e">
        <f t="shared" si="31"/>
        <v>#DIV/0!</v>
      </c>
      <c r="N50" s="491" t="e">
        <f t="shared" si="31"/>
        <v>#DIV/0!</v>
      </c>
      <c r="O50" s="491" t="e">
        <f t="shared" si="31"/>
        <v>#DIV/0!</v>
      </c>
    </row>
    <row r="51" spans="2:15" ht="12.75">
      <c r="B51" s="169" t="s">
        <v>264</v>
      </c>
      <c r="C51" s="494">
        <f aca="true" t="shared" si="32" ref="C51:I51">C43/$C$43</f>
        <v>1</v>
      </c>
      <c r="D51" s="494">
        <f t="shared" si="32"/>
        <v>1.1581722319859402</v>
      </c>
      <c r="E51" s="494">
        <f t="shared" si="32"/>
        <v>0.9351493848857645</v>
      </c>
      <c r="F51" s="494">
        <f t="shared" si="32"/>
        <v>0.803866432337434</v>
      </c>
      <c r="G51" s="494">
        <f t="shared" si="32"/>
        <v>0.6441124780316344</v>
      </c>
      <c r="H51" s="494">
        <f t="shared" si="32"/>
        <v>0.4602811950790861</v>
      </c>
      <c r="I51" s="495">
        <f t="shared" si="32"/>
        <v>0.4536028119507908</v>
      </c>
      <c r="J51" s="496">
        <f aca="true" t="shared" si="33" ref="J51:O51">J43/$C$43</f>
        <v>0.3372583479789103</v>
      </c>
      <c r="K51" s="494" t="e">
        <f t="shared" si="33"/>
        <v>#DIV/0!</v>
      </c>
      <c r="L51" s="494" t="e">
        <f t="shared" si="33"/>
        <v>#DIV/0!</v>
      </c>
      <c r="M51" s="494" t="e">
        <f t="shared" si="33"/>
        <v>#DIV/0!</v>
      </c>
      <c r="N51" s="494" t="e">
        <f t="shared" si="33"/>
        <v>#DIV/0!</v>
      </c>
      <c r="O51" s="494" t="e">
        <f t="shared" si="33"/>
        <v>#DIV/0!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69" r:id="rId1"/>
  <ignoredErrors>
    <ignoredError sqref="J17:O17 J21:O21 K22:O22 K28:O33 K43:O51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pane xSplit="2" ySplit="3" topLeftCell="G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1" sqref="H71"/>
    </sheetView>
  </sheetViews>
  <sheetFormatPr defaultColWidth="9.140625" defaultRowHeight="12.75"/>
  <cols>
    <col min="1" max="1" width="14.57421875" style="42" customWidth="1"/>
    <col min="2" max="2" width="39.57421875" style="42" customWidth="1"/>
    <col min="3" max="4" width="13.57421875" style="42" bestFit="1" customWidth="1"/>
    <col min="5" max="5" width="13.421875" style="42" bestFit="1" customWidth="1"/>
    <col min="6" max="8" width="13.57421875" style="42" bestFit="1" customWidth="1"/>
    <col min="9" max="9" width="8.140625" style="42" bestFit="1" customWidth="1"/>
    <col min="10" max="15" width="9.28125" style="42" customWidth="1"/>
    <col min="16" max="16384" width="11.421875" style="42" customWidth="1"/>
  </cols>
  <sheetData>
    <row r="1" spans="2:15" ht="27" customHeight="1">
      <c r="B1" s="268" t="s">
        <v>293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2.75">
      <c r="B2" s="17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2.75">
      <c r="B3" s="117" t="s">
        <v>272</v>
      </c>
      <c r="C3" s="38">
        <v>1998</v>
      </c>
      <c r="D3" s="38">
        <v>1999</v>
      </c>
      <c r="E3" s="38">
        <v>2000</v>
      </c>
      <c r="F3" s="38">
        <v>2001</v>
      </c>
      <c r="G3" s="38">
        <v>2002</v>
      </c>
      <c r="H3" s="38">
        <v>2003</v>
      </c>
      <c r="I3" s="39">
        <v>2004</v>
      </c>
      <c r="J3" s="203">
        <v>2005</v>
      </c>
      <c r="K3" s="38">
        <v>2006</v>
      </c>
      <c r="L3" s="38">
        <v>2007</v>
      </c>
      <c r="M3" s="38">
        <v>2008</v>
      </c>
      <c r="N3" s="38">
        <v>2009</v>
      </c>
      <c r="O3" s="38">
        <v>2010</v>
      </c>
    </row>
    <row r="4" spans="2:15" ht="12.75">
      <c r="B4" s="3" t="s">
        <v>99</v>
      </c>
      <c r="C4" s="411">
        <f>'Cost of Capital'!C5</f>
        <v>20017</v>
      </c>
      <c r="D4" s="412">
        <f>'Cost of Capital'!D5</f>
        <v>36610</v>
      </c>
      <c r="E4" s="411">
        <f>'Cost of Capital'!E5</f>
        <v>56999</v>
      </c>
      <c r="F4" s="412">
        <f>'Cost of Capital'!F5</f>
        <v>56665</v>
      </c>
      <c r="G4" s="411">
        <f>'Cost of Capital'!G5</f>
        <v>857</v>
      </c>
      <c r="H4" s="412">
        <f>'Cost of Capital'!H5</f>
        <v>454747</v>
      </c>
      <c r="I4" s="413">
        <f>'Cost of Capital'!I5</f>
        <v>189</v>
      </c>
      <c r="J4" s="414"/>
      <c r="K4" s="411"/>
      <c r="L4" s="411"/>
      <c r="M4" s="411"/>
      <c r="N4" s="411"/>
      <c r="O4" s="411"/>
    </row>
    <row r="5" spans="2:15" ht="12.75">
      <c r="B5" s="3" t="s">
        <v>109</v>
      </c>
      <c r="C5" s="415">
        <f>'Cost of Capital'!C6</f>
        <v>244636</v>
      </c>
      <c r="D5" s="416">
        <f>'Cost of Capital'!D6</f>
        <v>569399</v>
      </c>
      <c r="E5" s="415">
        <f>'Cost of Capital'!E6</f>
        <v>827044</v>
      </c>
      <c r="F5" s="416">
        <f>'Cost of Capital'!F6</f>
        <v>215126</v>
      </c>
      <c r="G5" s="415">
        <f>'Cost of Capital'!G6</f>
        <v>502561</v>
      </c>
      <c r="H5" s="416">
        <f>'Cost of Capital'!H6</f>
        <v>325112</v>
      </c>
      <c r="I5" s="417">
        <f>'Cost of Capital'!I6</f>
        <v>536138</v>
      </c>
      <c r="J5" s="418"/>
      <c r="K5" s="415"/>
      <c r="L5" s="415"/>
      <c r="M5" s="415"/>
      <c r="N5" s="415"/>
      <c r="O5" s="415"/>
    </row>
    <row r="6" spans="2:15" ht="12.75">
      <c r="B6" s="3" t="s">
        <v>110</v>
      </c>
      <c r="C6" s="415">
        <f>'Cost of Capital'!C48</f>
        <v>82853.01999999999</v>
      </c>
      <c r="D6" s="416">
        <f>'Cost of Capital'!D48</f>
        <v>147996.8151138522</v>
      </c>
      <c r="E6" s="415">
        <f>'Cost of Capital'!E48</f>
        <v>103615.55160455072</v>
      </c>
      <c r="F6" s="416">
        <f>'Cost of Capital'!F48</f>
        <v>86435.32565911139</v>
      </c>
      <c r="G6" s="415">
        <f>'Cost of Capital'!G48</f>
        <v>66738.49629858186</v>
      </c>
      <c r="H6" s="416">
        <f>'Cost of Capital'!H48</f>
        <v>45796.73148081971</v>
      </c>
      <c r="I6" s="417">
        <f>'Cost of Capital'!I48</f>
        <v>43989.75638796551</v>
      </c>
      <c r="J6" s="418"/>
      <c r="K6" s="415"/>
      <c r="L6" s="415"/>
      <c r="M6" s="415"/>
      <c r="N6" s="415"/>
      <c r="O6" s="415"/>
    </row>
    <row r="7" spans="2:15" ht="12.75">
      <c r="B7" s="3" t="s">
        <v>111</v>
      </c>
      <c r="C7" s="415">
        <f aca="true" t="shared" si="0" ref="C7:I7">SUM(C4:C6)</f>
        <v>347506.02</v>
      </c>
      <c r="D7" s="416">
        <f t="shared" si="0"/>
        <v>754005.8151138523</v>
      </c>
      <c r="E7" s="415">
        <f t="shared" si="0"/>
        <v>987658.5516045507</v>
      </c>
      <c r="F7" s="416">
        <f t="shared" si="0"/>
        <v>358226.3256591114</v>
      </c>
      <c r="G7" s="415">
        <f t="shared" si="0"/>
        <v>570156.4962985818</v>
      </c>
      <c r="H7" s="416">
        <f t="shared" si="0"/>
        <v>825655.7314808198</v>
      </c>
      <c r="I7" s="417">
        <f t="shared" si="0"/>
        <v>580316.7563879655</v>
      </c>
      <c r="J7" s="418"/>
      <c r="K7" s="415"/>
      <c r="L7" s="415"/>
      <c r="M7" s="415"/>
      <c r="N7" s="415"/>
      <c r="O7" s="415"/>
    </row>
    <row r="8" spans="2:15" ht="12.75">
      <c r="B8" s="273" t="s">
        <v>238</v>
      </c>
      <c r="C8" s="419">
        <f>'Cost of Capital'!C4-C7</f>
        <v>402521.98</v>
      </c>
      <c r="D8" s="420">
        <f>'Cost of Capital'!D4-D7</f>
        <v>-714103.8151138523</v>
      </c>
      <c r="E8" s="419">
        <f>'Cost of Capital'!E4-E7</f>
        <v>-56343.55160455068</v>
      </c>
      <c r="F8" s="420">
        <f>'Cost of Capital'!F4-F7</f>
        <v>-291959.3256591114</v>
      </c>
      <c r="G8" s="419">
        <f>'Cost of Capital'!G4-G7</f>
        <v>-364365.4962985818</v>
      </c>
      <c r="H8" s="420">
        <f>'Cost of Capital'!H4-H7</f>
        <v>-320072.73148081976</v>
      </c>
      <c r="I8" s="421">
        <f>'Cost of Capital'!I4-I7</f>
        <v>-369887.7563879655</v>
      </c>
      <c r="J8" s="422"/>
      <c r="K8" s="423"/>
      <c r="L8" s="423"/>
      <c r="M8" s="423"/>
      <c r="N8" s="423"/>
      <c r="O8" s="423"/>
    </row>
    <row r="9" spans="2:15" ht="12.75">
      <c r="B9" s="179"/>
      <c r="C9" s="424">
        <f>C8-'Cost of Capital'!C50</f>
        <v>0</v>
      </c>
      <c r="D9" s="425">
        <f>D8-'Cost of Capital'!D50</f>
        <v>0</v>
      </c>
      <c r="E9" s="424">
        <f>E8-'Cost of Capital'!E50</f>
        <v>0</v>
      </c>
      <c r="F9" s="425">
        <f>F8-'Cost of Capital'!F50</f>
        <v>0</v>
      </c>
      <c r="G9" s="424">
        <f>G8-'Cost of Capital'!G50</f>
        <v>0</v>
      </c>
      <c r="H9" s="425">
        <f>H8-'Cost of Capital'!H50</f>
        <v>0</v>
      </c>
      <c r="I9" s="426">
        <f>I8-'Cost of Capital'!I50</f>
        <v>0</v>
      </c>
      <c r="J9" s="427"/>
      <c r="K9" s="428"/>
      <c r="L9" s="428"/>
      <c r="M9" s="428"/>
      <c r="N9" s="428"/>
      <c r="O9" s="428"/>
    </row>
    <row r="10" spans="2:15" ht="12.75">
      <c r="B10" s="34" t="s">
        <v>112</v>
      </c>
      <c r="C10" s="182">
        <f>C4/C7</f>
        <v>0.05760187981779423</v>
      </c>
      <c r="D10" s="182">
        <f aca="true" t="shared" si="1" ref="D10:I10">D4/D7</f>
        <v>0.04855400219224041</v>
      </c>
      <c r="E10" s="182">
        <f t="shared" si="1"/>
        <v>0.05771124029392485</v>
      </c>
      <c r="F10" s="182">
        <f t="shared" si="1"/>
        <v>0.15818212102569615</v>
      </c>
      <c r="G10" s="182">
        <f t="shared" si="1"/>
        <v>0.001503096089518557</v>
      </c>
      <c r="H10" s="182">
        <f t="shared" si="1"/>
        <v>0.5507707179412512</v>
      </c>
      <c r="I10" s="183">
        <f t="shared" si="1"/>
        <v>0.00032568420249724057</v>
      </c>
      <c r="J10" s="391" t="e">
        <f aca="true" t="shared" si="2" ref="J10:O10">J4/J7</f>
        <v>#DIV/0!</v>
      </c>
      <c r="K10" s="392" t="e">
        <f t="shared" si="2"/>
        <v>#DIV/0!</v>
      </c>
      <c r="L10" s="392" t="e">
        <f t="shared" si="2"/>
        <v>#DIV/0!</v>
      </c>
      <c r="M10" s="392" t="e">
        <f t="shared" si="2"/>
        <v>#DIV/0!</v>
      </c>
      <c r="N10" s="392" t="e">
        <f t="shared" si="2"/>
        <v>#DIV/0!</v>
      </c>
      <c r="O10" s="392" t="e">
        <f t="shared" si="2"/>
        <v>#DIV/0!</v>
      </c>
    </row>
    <row r="11" spans="2:15" ht="12.75">
      <c r="B11" s="3" t="s">
        <v>113</v>
      </c>
      <c r="C11" s="157">
        <f>C5/C7</f>
        <v>0.7039762937056457</v>
      </c>
      <c r="D11" s="157">
        <f aca="true" t="shared" si="3" ref="D11:I11">D5/D7</f>
        <v>0.7551652634323818</v>
      </c>
      <c r="E11" s="157">
        <f t="shared" si="3"/>
        <v>0.837378463089682</v>
      </c>
      <c r="F11" s="157">
        <f t="shared" si="3"/>
        <v>0.6005309621066603</v>
      </c>
      <c r="G11" s="157">
        <f t="shared" si="3"/>
        <v>0.8814439601453157</v>
      </c>
      <c r="H11" s="157">
        <f t="shared" si="3"/>
        <v>0.39376217908269007</v>
      </c>
      <c r="I11" s="184">
        <f t="shared" si="3"/>
        <v>0.923871306658548</v>
      </c>
      <c r="J11" s="393" t="e">
        <f aca="true" t="shared" si="4" ref="J11:O11">J5/J7</f>
        <v>#DIV/0!</v>
      </c>
      <c r="K11" s="394" t="e">
        <f t="shared" si="4"/>
        <v>#DIV/0!</v>
      </c>
      <c r="L11" s="394" t="e">
        <f t="shared" si="4"/>
        <v>#DIV/0!</v>
      </c>
      <c r="M11" s="394" t="e">
        <f t="shared" si="4"/>
        <v>#DIV/0!</v>
      </c>
      <c r="N11" s="394" t="e">
        <f t="shared" si="4"/>
        <v>#DIV/0!</v>
      </c>
      <c r="O11" s="394" t="e">
        <f t="shared" si="4"/>
        <v>#DIV/0!</v>
      </c>
    </row>
    <row r="12" spans="2:15" ht="12.75">
      <c r="B12" s="47" t="s">
        <v>114</v>
      </c>
      <c r="C12" s="185">
        <f>C6/C7</f>
        <v>0.23842182647656</v>
      </c>
      <c r="D12" s="185">
        <f aca="true" t="shared" si="5" ref="D12:I12">D6/D7</f>
        <v>0.19628073437537774</v>
      </c>
      <c r="E12" s="185">
        <f t="shared" si="5"/>
        <v>0.10491029661639323</v>
      </c>
      <c r="F12" s="185">
        <f t="shared" si="5"/>
        <v>0.24128691686764348</v>
      </c>
      <c r="G12" s="185">
        <f t="shared" si="5"/>
        <v>0.1170529437651658</v>
      </c>
      <c r="H12" s="185">
        <f t="shared" si="5"/>
        <v>0.05546710297605871</v>
      </c>
      <c r="I12" s="186">
        <f t="shared" si="5"/>
        <v>0.07580300913895473</v>
      </c>
      <c r="J12" s="395" t="e">
        <f aca="true" t="shared" si="6" ref="J12:O12">J6/J7</f>
        <v>#DIV/0!</v>
      </c>
      <c r="K12" s="396" t="e">
        <f t="shared" si="6"/>
        <v>#DIV/0!</v>
      </c>
      <c r="L12" s="396" t="e">
        <f t="shared" si="6"/>
        <v>#DIV/0!</v>
      </c>
      <c r="M12" s="396" t="e">
        <f t="shared" si="6"/>
        <v>#DIV/0!</v>
      </c>
      <c r="N12" s="396" t="e">
        <f t="shared" si="6"/>
        <v>#DIV/0!</v>
      </c>
      <c r="O12" s="396" t="e">
        <f t="shared" si="6"/>
        <v>#DIV/0!</v>
      </c>
    </row>
    <row r="13" spans="2:15" ht="12.75">
      <c r="B13" s="34" t="s">
        <v>28</v>
      </c>
      <c r="C13" s="429">
        <f>'Labor Q&amp;P'!C16</f>
        <v>1</v>
      </c>
      <c r="D13" s="429">
        <f>'Labor Q&amp;P'!D16</f>
        <v>1.344</v>
      </c>
      <c r="E13" s="429">
        <f>'Labor Q&amp;P'!E16</f>
        <v>2.872</v>
      </c>
      <c r="F13" s="429">
        <f>'Labor Q&amp;P'!F16</f>
        <v>3.616</v>
      </c>
      <c r="G13" s="429">
        <f>'Labor Q&amp;P'!G16</f>
        <v>1.008</v>
      </c>
      <c r="H13" s="429">
        <f>'Labor Q&amp;P'!H16</f>
        <v>0.512</v>
      </c>
      <c r="I13" s="430">
        <f>'Labor Q&amp;P'!I16</f>
        <v>2.04</v>
      </c>
      <c r="J13" s="431" t="e">
        <f>'Labor Q&amp;P'!J16</f>
        <v>#DIV/0!</v>
      </c>
      <c r="K13" s="429" t="e">
        <f>'Labor Q&amp;P'!K16</f>
        <v>#DIV/0!</v>
      </c>
      <c r="L13" s="429" t="e">
        <f>'Labor Q&amp;P'!L16</f>
        <v>#DIV/0!</v>
      </c>
      <c r="M13" s="429" t="e">
        <f>'Labor Q&amp;P'!M16</f>
        <v>#DIV/0!</v>
      </c>
      <c r="N13" s="429" t="e">
        <f>'Labor Q&amp;P'!N16</f>
        <v>#DIV/0!</v>
      </c>
      <c r="O13" s="429" t="e">
        <f>'Labor Q&amp;P'!O16</f>
        <v>#DIV/0!</v>
      </c>
    </row>
    <row r="14" spans="2:15" ht="12.75">
      <c r="B14" s="3" t="s">
        <v>115</v>
      </c>
      <c r="C14" s="432">
        <f>Materials!C75</f>
        <v>1</v>
      </c>
      <c r="D14" s="432">
        <f>Materials!D75</f>
        <v>1.489956961052248</v>
      </c>
      <c r="E14" s="432">
        <f>Materials!E75</f>
        <v>1.5169695484369425</v>
      </c>
      <c r="F14" s="432">
        <f>Materials!F75</f>
        <v>0.28540059829848347</v>
      </c>
      <c r="G14" s="432">
        <f>Materials!G75</f>
        <v>0.5349758269241872</v>
      </c>
      <c r="H14" s="432">
        <f>Materials!H75</f>
        <v>0.29940450607786023</v>
      </c>
      <c r="I14" s="433">
        <f>Materials!I75</f>
        <v>0.4232959290124101</v>
      </c>
      <c r="J14" s="434" t="e">
        <f>Materials!J75</f>
        <v>#DIV/0!</v>
      </c>
      <c r="K14" s="432" t="e">
        <f>Materials!K75</f>
        <v>#DIV/0!</v>
      </c>
      <c r="L14" s="432" t="e">
        <f>Materials!L75</f>
        <v>#DIV/0!</v>
      </c>
      <c r="M14" s="432" t="e">
        <f>Materials!M75</f>
        <v>#DIV/0!</v>
      </c>
      <c r="N14" s="432" t="e">
        <f>Materials!N75</f>
        <v>#DIV/0!</v>
      </c>
      <c r="O14" s="432" t="e">
        <f>Materials!O75</f>
        <v>#DIV/0!</v>
      </c>
    </row>
    <row r="15" spans="2:15" ht="12.75">
      <c r="B15" s="47" t="s">
        <v>116</v>
      </c>
      <c r="C15" s="435">
        <f>'Capital stock'!C58</f>
        <v>1</v>
      </c>
      <c r="D15" s="435">
        <f>'Capital stock'!D58</f>
        <v>0.9663803872570386</v>
      </c>
      <c r="E15" s="435">
        <f>'Capital stock'!E58</f>
        <v>0.9308950553020815</v>
      </c>
      <c r="F15" s="435">
        <f>'Capital stock'!F58</f>
        <v>0.8991816730274211</v>
      </c>
      <c r="G15" s="435">
        <f>'Capital stock'!G58</f>
        <v>0.8673666710111186</v>
      </c>
      <c r="H15" s="435">
        <f>'Capital stock'!H58</f>
        <v>0.8354186123759606</v>
      </c>
      <c r="I15" s="436">
        <f>'Capital stock'!I58</f>
        <v>0.8053114231213964</v>
      </c>
      <c r="J15" s="437" t="e">
        <f>'Capital stock'!J58</f>
        <v>#DIV/0!</v>
      </c>
      <c r="K15" s="435" t="e">
        <f>'Capital stock'!K58</f>
        <v>#DIV/0!</v>
      </c>
      <c r="L15" s="435" t="e">
        <f>'Capital stock'!L58</f>
        <v>#DIV/0!</v>
      </c>
      <c r="M15" s="435" t="e">
        <f>'Capital stock'!M58</f>
        <v>#DIV/0!</v>
      </c>
      <c r="N15" s="435" t="e">
        <f>'Capital stock'!N58</f>
        <v>#DIV/0!</v>
      </c>
      <c r="O15" s="435" t="e">
        <f>'Capital stock'!O58</f>
        <v>#DIV/0!</v>
      </c>
    </row>
    <row r="16" spans="2:15" ht="12.75">
      <c r="B16" s="2" t="s">
        <v>117</v>
      </c>
      <c r="C16" s="438">
        <v>1</v>
      </c>
      <c r="D16" s="438">
        <f aca="true" t="shared" si="7" ref="D16:O16">SUMPRODUCT(D13:D15,C10:C12)/SUMPRODUCT(C13:C15,C10:C12)</f>
        <v>1.3567174826985529</v>
      </c>
      <c r="E16" s="438">
        <f t="shared" si="7"/>
        <v>1.063491238386329</v>
      </c>
      <c r="F16" s="438">
        <f t="shared" si="7"/>
        <v>0.3534008941805776</v>
      </c>
      <c r="G16" s="438">
        <f t="shared" si="7"/>
        <v>0.7184975289559153</v>
      </c>
      <c r="H16" s="438">
        <f t="shared" si="7"/>
        <v>0.6308210477654825</v>
      </c>
      <c r="I16" s="439">
        <f t="shared" si="7"/>
        <v>2.9915679649556313</v>
      </c>
      <c r="J16" s="440" t="e">
        <f t="shared" si="7"/>
        <v>#DIV/0!</v>
      </c>
      <c r="K16" s="438" t="e">
        <f t="shared" si="7"/>
        <v>#DIV/0!</v>
      </c>
      <c r="L16" s="438" t="e">
        <f t="shared" si="7"/>
        <v>#DIV/0!</v>
      </c>
      <c r="M16" s="438" t="e">
        <f t="shared" si="7"/>
        <v>#DIV/0!</v>
      </c>
      <c r="N16" s="438" t="e">
        <f t="shared" si="7"/>
        <v>#DIV/0!</v>
      </c>
      <c r="O16" s="438" t="e">
        <f t="shared" si="7"/>
        <v>#DIV/0!</v>
      </c>
    </row>
    <row r="17" spans="2:15" ht="12.75">
      <c r="B17" s="3" t="s">
        <v>118</v>
      </c>
      <c r="C17" s="441">
        <v>1</v>
      </c>
      <c r="D17" s="441">
        <f aca="true" t="shared" si="8" ref="D17:I17">SUMPRODUCT(D13:D15,D10:D12)/SUMPRODUCT(C13:C15,D10:D12)</f>
        <v>1.3801021720390765</v>
      </c>
      <c r="E17" s="441">
        <f t="shared" si="8"/>
        <v>1.0750591474963422</v>
      </c>
      <c r="F17" s="441">
        <f t="shared" si="8"/>
        <v>0.6040252870664982</v>
      </c>
      <c r="G17" s="441">
        <f t="shared" si="8"/>
        <v>1.5861738371101717</v>
      </c>
      <c r="H17" s="441">
        <f t="shared" si="8"/>
        <v>0.5482305614522406</v>
      </c>
      <c r="I17" s="442">
        <f t="shared" si="8"/>
        <v>1.331294998356665</v>
      </c>
      <c r="J17" s="443" t="e">
        <f aca="true" t="shared" si="9" ref="J17:O17">SUMPRODUCT(J13:J15,J10:J12)/SUMPRODUCT(I13:I15,J10:J12)</f>
        <v>#DIV/0!</v>
      </c>
      <c r="K17" s="441" t="e">
        <f t="shared" si="9"/>
        <v>#DIV/0!</v>
      </c>
      <c r="L17" s="441" t="e">
        <f t="shared" si="9"/>
        <v>#DIV/0!</v>
      </c>
      <c r="M17" s="441" t="e">
        <f t="shared" si="9"/>
        <v>#DIV/0!</v>
      </c>
      <c r="N17" s="441" t="e">
        <f t="shared" si="9"/>
        <v>#DIV/0!</v>
      </c>
      <c r="O17" s="441" t="e">
        <f t="shared" si="9"/>
        <v>#DIV/0!</v>
      </c>
    </row>
    <row r="18" spans="2:15" ht="12.75">
      <c r="B18" s="3" t="s">
        <v>119</v>
      </c>
      <c r="C18" s="441">
        <v>1</v>
      </c>
      <c r="D18" s="441">
        <f aca="true" t="shared" si="10" ref="D18:O18">(D16*D17)^0.5</f>
        <v>1.3683598739789402</v>
      </c>
      <c r="E18" s="441">
        <f t="shared" si="10"/>
        <v>1.0692595494590806</v>
      </c>
      <c r="F18" s="441">
        <f t="shared" si="10"/>
        <v>0.4620206451631578</v>
      </c>
      <c r="G18" s="441">
        <f t="shared" si="10"/>
        <v>1.0675495222509261</v>
      </c>
      <c r="H18" s="441">
        <f t="shared" si="10"/>
        <v>0.5880776965608892</v>
      </c>
      <c r="I18" s="442">
        <f t="shared" si="10"/>
        <v>1.9956601586917195</v>
      </c>
      <c r="J18" s="434" t="e">
        <f t="shared" si="10"/>
        <v>#DIV/0!</v>
      </c>
      <c r="K18" s="432" t="e">
        <f t="shared" si="10"/>
        <v>#DIV/0!</v>
      </c>
      <c r="L18" s="432" t="e">
        <f t="shared" si="10"/>
        <v>#DIV/0!</v>
      </c>
      <c r="M18" s="432" t="e">
        <f t="shared" si="10"/>
        <v>#DIV/0!</v>
      </c>
      <c r="N18" s="432" t="e">
        <f t="shared" si="10"/>
        <v>#DIV/0!</v>
      </c>
      <c r="O18" s="432" t="e">
        <f t="shared" si="10"/>
        <v>#DIV/0!</v>
      </c>
    </row>
    <row r="19" spans="2:15" ht="12.75">
      <c r="B19" s="4" t="s">
        <v>120</v>
      </c>
      <c r="C19" s="444">
        <v>1</v>
      </c>
      <c r="D19" s="444">
        <f aca="true" t="shared" si="11" ref="D19:O19">C19*D18</f>
        <v>1.3683598739789402</v>
      </c>
      <c r="E19" s="444">
        <f t="shared" si="11"/>
        <v>1.463131862348606</v>
      </c>
      <c r="F19" s="444">
        <f t="shared" si="11"/>
        <v>0.6759971270010755</v>
      </c>
      <c r="G19" s="444">
        <f t="shared" si="11"/>
        <v>0.7216604099729969</v>
      </c>
      <c r="H19" s="444">
        <f t="shared" si="11"/>
        <v>0.4243923915961069</v>
      </c>
      <c r="I19" s="445">
        <f t="shared" si="11"/>
        <v>0.8469429875602451</v>
      </c>
      <c r="J19" s="446" t="e">
        <f t="shared" si="11"/>
        <v>#DIV/0!</v>
      </c>
      <c r="K19" s="447" t="e">
        <f t="shared" si="11"/>
        <v>#DIV/0!</v>
      </c>
      <c r="L19" s="447" t="e">
        <f t="shared" si="11"/>
        <v>#DIV/0!</v>
      </c>
      <c r="M19" s="447" t="e">
        <f t="shared" si="11"/>
        <v>#DIV/0!</v>
      </c>
      <c r="N19" s="447" t="e">
        <f t="shared" si="11"/>
        <v>#DIV/0!</v>
      </c>
      <c r="O19" s="447" t="e">
        <f t="shared" si="11"/>
        <v>#DIV/0!</v>
      </c>
    </row>
    <row r="20" spans="2:15" ht="12.75">
      <c r="B20" s="257" t="s">
        <v>286</v>
      </c>
      <c r="C20" s="397"/>
      <c r="D20" s="258">
        <f aca="true" t="shared" si="12" ref="D20:O20">LN(D19/C19)</f>
        <v>0.31361285037870423</v>
      </c>
      <c r="E20" s="258">
        <f t="shared" si="12"/>
        <v>0.06696639907315109</v>
      </c>
      <c r="F20" s="258">
        <f t="shared" si="12"/>
        <v>-0.7721457023984686</v>
      </c>
      <c r="G20" s="258">
        <f t="shared" si="12"/>
        <v>0.06536585591199767</v>
      </c>
      <c r="H20" s="258">
        <f t="shared" si="12"/>
        <v>-0.5308962028045208</v>
      </c>
      <c r="I20" s="259">
        <f t="shared" si="12"/>
        <v>0.6909749022166994</v>
      </c>
      <c r="J20" s="398" t="e">
        <f t="shared" si="12"/>
        <v>#DIV/0!</v>
      </c>
      <c r="K20" s="397" t="e">
        <f t="shared" si="12"/>
        <v>#DIV/0!</v>
      </c>
      <c r="L20" s="397" t="e">
        <f t="shared" si="12"/>
        <v>#DIV/0!</v>
      </c>
      <c r="M20" s="397" t="e">
        <f t="shared" si="12"/>
        <v>#DIV/0!</v>
      </c>
      <c r="N20" s="397" t="e">
        <f t="shared" si="12"/>
        <v>#DIV/0!</v>
      </c>
      <c r="O20" s="397" t="e">
        <f t="shared" si="12"/>
        <v>#DIV/0!</v>
      </c>
    </row>
    <row r="21" spans="2:15" ht="12.75">
      <c r="B21" s="20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2:15" ht="12.75">
      <c r="B22" s="217" t="s">
        <v>121</v>
      </c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2:15" ht="12.75">
      <c r="B23" s="282" t="s">
        <v>123</v>
      </c>
      <c r="C23" s="283">
        <v>0.02</v>
      </c>
      <c r="D23" s="283">
        <v>0.02</v>
      </c>
      <c r="E23" s="283">
        <v>0.02</v>
      </c>
      <c r="F23" s="283">
        <v>0.02</v>
      </c>
      <c r="G23" s="283">
        <v>0.02</v>
      </c>
      <c r="H23" s="283">
        <v>0.02</v>
      </c>
      <c r="I23" s="284">
        <v>0.02</v>
      </c>
      <c r="J23" s="399">
        <v>0.02</v>
      </c>
      <c r="K23" s="400">
        <v>0.02</v>
      </c>
      <c r="L23" s="400">
        <v>0.02</v>
      </c>
      <c r="M23" s="400">
        <v>0.02</v>
      </c>
      <c r="N23" s="400">
        <v>0.02</v>
      </c>
      <c r="O23" s="400">
        <v>0.02</v>
      </c>
    </row>
    <row r="24" spans="2:15" ht="12.75">
      <c r="B24" s="30" t="s">
        <v>124</v>
      </c>
      <c r="C24" s="400"/>
      <c r="D24" s="192">
        <f>D20</f>
        <v>0.31361285037870423</v>
      </c>
      <c r="E24" s="192">
        <f aca="true" t="shared" si="13" ref="E24:O24">E20</f>
        <v>0.06696639907315109</v>
      </c>
      <c r="F24" s="192">
        <f t="shared" si="13"/>
        <v>-0.7721457023984686</v>
      </c>
      <c r="G24" s="192">
        <f t="shared" si="13"/>
        <v>0.06536585591199767</v>
      </c>
      <c r="H24" s="192">
        <f t="shared" si="13"/>
        <v>-0.5308962028045208</v>
      </c>
      <c r="I24" s="193">
        <f t="shared" si="13"/>
        <v>0.6909749022166994</v>
      </c>
      <c r="J24" s="194" t="e">
        <f t="shared" si="13"/>
        <v>#DIV/0!</v>
      </c>
      <c r="K24" s="192" t="e">
        <f t="shared" si="13"/>
        <v>#DIV/0!</v>
      </c>
      <c r="L24" s="192" t="e">
        <f t="shared" si="13"/>
        <v>#DIV/0!</v>
      </c>
      <c r="M24" s="192" t="e">
        <f t="shared" si="13"/>
        <v>#DIV/0!</v>
      </c>
      <c r="N24" s="192" t="e">
        <f t="shared" si="13"/>
        <v>#DIV/0!</v>
      </c>
      <c r="O24" s="192" t="e">
        <f t="shared" si="13"/>
        <v>#DIV/0!</v>
      </c>
    </row>
    <row r="25" spans="2:15" ht="12.75">
      <c r="B25" s="30" t="s">
        <v>125</v>
      </c>
      <c r="C25" s="192"/>
      <c r="D25" s="192">
        <f>Outputs!D82</f>
        <v>-2.6022771609814885</v>
      </c>
      <c r="E25" s="192">
        <f>Outputs!E82</f>
        <v>0.11479355424709997</v>
      </c>
      <c r="F25" s="192">
        <f>Outputs!F82</f>
        <v>0.4957865451741726</v>
      </c>
      <c r="G25" s="192">
        <f>Outputs!G82</f>
        <v>-0.360628199558128</v>
      </c>
      <c r="H25" s="192">
        <f>Outputs!H82</f>
        <v>0.8559626932997134</v>
      </c>
      <c r="I25" s="193">
        <f>Outputs!I82</f>
        <v>3.763576788006783</v>
      </c>
      <c r="J25" s="194" t="e">
        <f>Outputs!J82</f>
        <v>#DIV/0!</v>
      </c>
      <c r="K25" s="192" t="e">
        <f>Outputs!K82</f>
        <v>#DIV/0!</v>
      </c>
      <c r="L25" s="192" t="e">
        <f>Outputs!L82</f>
        <v>#DIV/0!</v>
      </c>
      <c r="M25" s="192" t="e">
        <f>Outputs!M82</f>
        <v>#DIV/0!</v>
      </c>
      <c r="N25" s="192" t="e">
        <f>Outputs!N82</f>
        <v>#DIV/0!</v>
      </c>
      <c r="O25" s="192" t="e">
        <f>Outputs!O82</f>
        <v>#DIV/0!</v>
      </c>
    </row>
    <row r="26" spans="2:15" ht="12.75">
      <c r="B26" s="148" t="s">
        <v>126</v>
      </c>
      <c r="C26" s="280">
        <f>C25-C24</f>
        <v>0</v>
      </c>
      <c r="D26" s="280">
        <f>D25-D24</f>
        <v>-2.915890011360193</v>
      </c>
      <c r="E26" s="280">
        <f aca="true" t="shared" si="14" ref="E26:O26">E25-E24</f>
        <v>0.04782715517394888</v>
      </c>
      <c r="F26" s="280">
        <f t="shared" si="14"/>
        <v>1.2679322475726411</v>
      </c>
      <c r="G26" s="280">
        <f t="shared" si="14"/>
        <v>-0.4259940554701257</v>
      </c>
      <c r="H26" s="280">
        <f t="shared" si="14"/>
        <v>1.386858896104234</v>
      </c>
      <c r="I26" s="281">
        <f t="shared" si="14"/>
        <v>3.0726018857900836</v>
      </c>
      <c r="J26" s="194" t="e">
        <f t="shared" si="14"/>
        <v>#DIV/0!</v>
      </c>
      <c r="K26" s="192" t="e">
        <f t="shared" si="14"/>
        <v>#DIV/0!</v>
      </c>
      <c r="L26" s="192" t="e">
        <f t="shared" si="14"/>
        <v>#DIV/0!</v>
      </c>
      <c r="M26" s="192" t="e">
        <f t="shared" si="14"/>
        <v>#DIV/0!</v>
      </c>
      <c r="N26" s="192" t="e">
        <f t="shared" si="14"/>
        <v>#DIV/0!</v>
      </c>
      <c r="O26" s="192" t="e">
        <f t="shared" si="14"/>
        <v>#DIV/0!</v>
      </c>
    </row>
    <row r="27" spans="2:15" ht="13.5" thickBot="1">
      <c r="B27" s="242" t="s">
        <v>122</v>
      </c>
      <c r="C27" s="401"/>
      <c r="D27" s="285">
        <f>D26-D23</f>
        <v>-2.935890011360193</v>
      </c>
      <c r="E27" s="285">
        <f aca="true" t="shared" si="15" ref="E27:O27">E26-E23</f>
        <v>0.02782715517394888</v>
      </c>
      <c r="F27" s="285">
        <f t="shared" si="15"/>
        <v>1.247932247572641</v>
      </c>
      <c r="G27" s="285">
        <f t="shared" si="15"/>
        <v>-0.4459940554701257</v>
      </c>
      <c r="H27" s="285">
        <f t="shared" si="15"/>
        <v>1.366858896104234</v>
      </c>
      <c r="I27" s="286">
        <f t="shared" si="15"/>
        <v>3.0526018857900836</v>
      </c>
      <c r="J27" s="287" t="e">
        <f t="shared" si="15"/>
        <v>#DIV/0!</v>
      </c>
      <c r="K27" s="285" t="e">
        <f t="shared" si="15"/>
        <v>#DIV/0!</v>
      </c>
      <c r="L27" s="285" t="e">
        <f t="shared" si="15"/>
        <v>#DIV/0!</v>
      </c>
      <c r="M27" s="285" t="e">
        <f t="shared" si="15"/>
        <v>#DIV/0!</v>
      </c>
      <c r="N27" s="285" t="e">
        <f t="shared" si="15"/>
        <v>#DIV/0!</v>
      </c>
      <c r="O27" s="285" t="e">
        <f t="shared" si="15"/>
        <v>#DIV/0!</v>
      </c>
    </row>
    <row r="28" spans="2:15" ht="13.5" thickBot="1">
      <c r="B28" s="146"/>
      <c r="C28" s="195"/>
      <c r="D28" s="195"/>
      <c r="E28" s="195"/>
      <c r="F28" s="195"/>
      <c r="G28" s="195"/>
      <c r="H28" s="195"/>
      <c r="I28" s="279">
        <f>AVERAGE(D27:I27)</f>
        <v>0.3855560196350982</v>
      </c>
      <c r="J28" s="195"/>
      <c r="K28" s="195"/>
      <c r="L28" s="195"/>
      <c r="M28" s="195"/>
      <c r="N28" s="195"/>
      <c r="O28" s="195"/>
    </row>
    <row r="29" spans="2:15" ht="12.75">
      <c r="B29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2:15" ht="12.75">
      <c r="B30" s="117" t="s">
        <v>271</v>
      </c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.75">
      <c r="A31" s="639" t="s">
        <v>297</v>
      </c>
      <c r="B31" s="643" t="s">
        <v>258</v>
      </c>
      <c r="C31" s="644"/>
      <c r="D31" s="645">
        <f>'Price Indices'!D63</f>
        <v>0.4216939078751855</v>
      </c>
      <c r="E31" s="645">
        <f>'Price Indices'!E63</f>
        <v>0.5158862876254182</v>
      </c>
      <c r="F31" s="645">
        <f>'Price Indices'!F63</f>
        <v>0.40300000000000014</v>
      </c>
      <c r="G31" s="645">
        <f>'Price Indices'!G63</f>
        <v>0.2444761225944403</v>
      </c>
      <c r="H31" s="645">
        <f>'Price Indices'!H63</f>
        <v>0.1964490263459335</v>
      </c>
      <c r="I31" s="645">
        <f>'Price Indices'!I63</f>
        <v>0.21541407371948296</v>
      </c>
      <c r="J31" s="263" t="e">
        <f aca="true" t="shared" si="16" ref="J31:O31">J30/I30-1</f>
        <v>#DIV/0!</v>
      </c>
      <c r="K31" s="262" t="e">
        <f t="shared" si="16"/>
        <v>#DIV/0!</v>
      </c>
      <c r="L31" s="262" t="e">
        <f t="shared" si="16"/>
        <v>#DIV/0!</v>
      </c>
      <c r="M31" s="262" t="e">
        <f t="shared" si="16"/>
        <v>#DIV/0!</v>
      </c>
      <c r="N31" s="262" t="e">
        <f t="shared" si="16"/>
        <v>#DIV/0!</v>
      </c>
      <c r="O31" s="262" t="e">
        <f t="shared" si="16"/>
        <v>#DIV/0!</v>
      </c>
    </row>
    <row r="32" spans="1:15" ht="12.75">
      <c r="A32" s="646"/>
      <c r="B32" s="112" t="s">
        <v>112</v>
      </c>
      <c r="C32" s="218">
        <f>C10</f>
        <v>0.05760187981779423</v>
      </c>
      <c r="D32" s="218">
        <f aca="true" t="shared" si="17" ref="D32:I32">D10</f>
        <v>0.04855400219224041</v>
      </c>
      <c r="E32" s="218">
        <f t="shared" si="17"/>
        <v>0.05771124029392485</v>
      </c>
      <c r="F32" s="218">
        <f t="shared" si="17"/>
        <v>0.15818212102569615</v>
      </c>
      <c r="G32" s="218">
        <f t="shared" si="17"/>
        <v>0.001503096089518557</v>
      </c>
      <c r="H32" s="218">
        <f t="shared" si="17"/>
        <v>0.5507707179412512</v>
      </c>
      <c r="I32" s="218">
        <f t="shared" si="17"/>
        <v>0.00032568420249724057</v>
      </c>
      <c r="J32" s="219" t="e">
        <f aca="true" t="shared" si="18" ref="J32:O32">J10</f>
        <v>#DIV/0!</v>
      </c>
      <c r="K32" s="218" t="e">
        <f t="shared" si="18"/>
        <v>#DIV/0!</v>
      </c>
      <c r="L32" s="218" t="e">
        <f t="shared" si="18"/>
        <v>#DIV/0!</v>
      </c>
      <c r="M32" s="218" t="e">
        <f t="shared" si="18"/>
        <v>#DIV/0!</v>
      </c>
      <c r="N32" s="218" t="e">
        <f t="shared" si="18"/>
        <v>#DIV/0!</v>
      </c>
      <c r="O32" s="218" t="e">
        <f t="shared" si="18"/>
        <v>#DIV/0!</v>
      </c>
    </row>
    <row r="33" spans="1:15" ht="12.75">
      <c r="A33" s="646"/>
      <c r="B33" s="113" t="s">
        <v>113</v>
      </c>
      <c r="C33" s="220">
        <f>C11</f>
        <v>0.7039762937056457</v>
      </c>
      <c r="D33" s="220">
        <f aca="true" t="shared" si="19" ref="D33:I34">D11</f>
        <v>0.7551652634323818</v>
      </c>
      <c r="E33" s="220">
        <f t="shared" si="19"/>
        <v>0.837378463089682</v>
      </c>
      <c r="F33" s="220">
        <f t="shared" si="19"/>
        <v>0.6005309621066603</v>
      </c>
      <c r="G33" s="220">
        <f t="shared" si="19"/>
        <v>0.8814439601453157</v>
      </c>
      <c r="H33" s="220">
        <f t="shared" si="19"/>
        <v>0.39376217908269007</v>
      </c>
      <c r="I33" s="220">
        <f t="shared" si="19"/>
        <v>0.923871306658548</v>
      </c>
      <c r="J33" s="221" t="e">
        <f aca="true" t="shared" si="20" ref="J33:O33">J11</f>
        <v>#DIV/0!</v>
      </c>
      <c r="K33" s="220" t="e">
        <f t="shared" si="20"/>
        <v>#DIV/0!</v>
      </c>
      <c r="L33" s="220" t="e">
        <f t="shared" si="20"/>
        <v>#DIV/0!</v>
      </c>
      <c r="M33" s="220" t="e">
        <f t="shared" si="20"/>
        <v>#DIV/0!</v>
      </c>
      <c r="N33" s="220" t="e">
        <f t="shared" si="20"/>
        <v>#DIV/0!</v>
      </c>
      <c r="O33" s="220" t="e">
        <f t="shared" si="20"/>
        <v>#DIV/0!</v>
      </c>
    </row>
    <row r="34" spans="1:15" ht="12.75">
      <c r="A34" s="646"/>
      <c r="B34" s="114" t="s">
        <v>114</v>
      </c>
      <c r="C34" s="202">
        <f>C12</f>
        <v>0.23842182647656</v>
      </c>
      <c r="D34" s="202">
        <f t="shared" si="19"/>
        <v>0.19628073437537774</v>
      </c>
      <c r="E34" s="202">
        <f t="shared" si="19"/>
        <v>0.10491029661639323</v>
      </c>
      <c r="F34" s="202">
        <f t="shared" si="19"/>
        <v>0.24128691686764348</v>
      </c>
      <c r="G34" s="202">
        <f t="shared" si="19"/>
        <v>0.1170529437651658</v>
      </c>
      <c r="H34" s="202">
        <f t="shared" si="19"/>
        <v>0.05546710297605871</v>
      </c>
      <c r="I34" s="202">
        <f t="shared" si="19"/>
        <v>0.07580300913895473</v>
      </c>
      <c r="J34" s="222" t="e">
        <f aca="true" t="shared" si="21" ref="J34:O34">J12</f>
        <v>#DIV/0!</v>
      </c>
      <c r="K34" s="202" t="e">
        <f t="shared" si="21"/>
        <v>#DIV/0!</v>
      </c>
      <c r="L34" s="202" t="e">
        <f t="shared" si="21"/>
        <v>#DIV/0!</v>
      </c>
      <c r="M34" s="202" t="e">
        <f t="shared" si="21"/>
        <v>#DIV/0!</v>
      </c>
      <c r="N34" s="202" t="e">
        <f t="shared" si="21"/>
        <v>#DIV/0!</v>
      </c>
      <c r="O34" s="202" t="e">
        <f t="shared" si="21"/>
        <v>#DIV/0!</v>
      </c>
    </row>
    <row r="35" spans="1:15" ht="12.75">
      <c r="A35" s="646"/>
      <c r="B35" s="168" t="s">
        <v>127</v>
      </c>
      <c r="C35" s="448">
        <f>'Labor Q&amp;P'!C14</f>
        <v>1</v>
      </c>
      <c r="D35" s="448">
        <f>'Labor Q&amp;P'!D14</f>
        <v>1.3608224675692329</v>
      </c>
      <c r="E35" s="448">
        <f>'Labor Q&amp;P'!E14</f>
        <v>0.9914796656824987</v>
      </c>
      <c r="F35" s="448">
        <f>'Labor Q&amp;P'!F14</f>
        <v>0.7828660903718565</v>
      </c>
      <c r="G35" s="448">
        <f>'Labor Q&amp;P'!G14</f>
        <v>0.038112445691003916</v>
      </c>
      <c r="H35" s="448">
        <f>'Labor Q&amp;P'!H14</f>
        <v>44.36560954438727</v>
      </c>
      <c r="I35" s="448">
        <f>'Labor Q&amp;P'!I14</f>
        <v>0.0038202821719185757</v>
      </c>
      <c r="J35" s="449" t="e">
        <f aca="true" t="shared" si="22" ref="J35:O35">J16</f>
        <v>#DIV/0!</v>
      </c>
      <c r="K35" s="448" t="e">
        <f t="shared" si="22"/>
        <v>#DIV/0!</v>
      </c>
      <c r="L35" s="448" t="e">
        <f t="shared" si="22"/>
        <v>#DIV/0!</v>
      </c>
      <c r="M35" s="448" t="e">
        <f t="shared" si="22"/>
        <v>#DIV/0!</v>
      </c>
      <c r="N35" s="448" t="e">
        <f t="shared" si="22"/>
        <v>#DIV/0!</v>
      </c>
      <c r="O35" s="448" t="e">
        <f t="shared" si="22"/>
        <v>#DIV/0!</v>
      </c>
    </row>
    <row r="36" spans="1:15" ht="12.75">
      <c r="A36" s="646"/>
      <c r="B36" s="113" t="s">
        <v>128</v>
      </c>
      <c r="C36" s="448">
        <f>Materials!C73</f>
        <v>1</v>
      </c>
      <c r="D36" s="448">
        <f>Materials!D73</f>
        <v>1.5621495551615723</v>
      </c>
      <c r="E36" s="448">
        <f>Materials!E73</f>
        <v>2.2285961984940745</v>
      </c>
      <c r="F36" s="448">
        <f>Materials!F73</f>
        <v>3.0811841552291224</v>
      </c>
      <c r="G36" s="448">
        <f>Materials!G73</f>
        <v>3.840026818407601</v>
      </c>
      <c r="H36" s="448">
        <f>Materials!H73</f>
        <v>4.438684743448183</v>
      </c>
      <c r="I36" s="448">
        <f>Materials!I73</f>
        <v>5.177404908866567</v>
      </c>
      <c r="J36" s="449" t="e">
        <f>Materials!J73</f>
        <v>#DIV/0!</v>
      </c>
      <c r="K36" s="448" t="e">
        <f>Materials!K73</f>
        <v>#DIV/0!</v>
      </c>
      <c r="L36" s="448" t="e">
        <f>Materials!L73</f>
        <v>#DIV/0!</v>
      </c>
      <c r="M36" s="448" t="e">
        <f>Materials!M73</f>
        <v>#DIV/0!</v>
      </c>
      <c r="N36" s="448" t="e">
        <f>Materials!N73</f>
        <v>#DIV/0!</v>
      </c>
      <c r="O36" s="448" t="e">
        <f>Materials!O73</f>
        <v>#DIV/0!</v>
      </c>
    </row>
    <row r="37" spans="1:15" ht="12.75">
      <c r="A37" s="646"/>
      <c r="B37" s="103" t="s">
        <v>129</v>
      </c>
      <c r="C37" s="448">
        <f>'Cost of Capital'!C51</f>
        <v>1</v>
      </c>
      <c r="D37" s="448">
        <f>'Cost of Capital'!D51</f>
        <v>1.1581722319859402</v>
      </c>
      <c r="E37" s="448">
        <f>'Cost of Capital'!E51</f>
        <v>0.9351493848857645</v>
      </c>
      <c r="F37" s="448">
        <f>'Cost of Capital'!F51</f>
        <v>0.803866432337434</v>
      </c>
      <c r="G37" s="448">
        <f>'Cost of Capital'!G51</f>
        <v>0.6441124780316344</v>
      </c>
      <c r="H37" s="448">
        <f>'Cost of Capital'!H51</f>
        <v>0.4602811950790861</v>
      </c>
      <c r="I37" s="448">
        <f>'Cost of Capital'!I51</f>
        <v>0.4536028119507908</v>
      </c>
      <c r="J37" s="449">
        <f>'Cost of Capital'!J51</f>
        <v>0.3372583479789103</v>
      </c>
      <c r="K37" s="448" t="e">
        <f>'Cost of Capital'!K51</f>
        <v>#DIV/0!</v>
      </c>
      <c r="L37" s="448" t="e">
        <f>'Cost of Capital'!L51</f>
        <v>#DIV/0!</v>
      </c>
      <c r="M37" s="448" t="e">
        <f>'Cost of Capital'!M51</f>
        <v>#DIV/0!</v>
      </c>
      <c r="N37" s="448" t="e">
        <f>'Cost of Capital'!N51</f>
        <v>#DIV/0!</v>
      </c>
      <c r="O37" s="448" t="e">
        <f>'Cost of Capital'!O51</f>
        <v>#DIV/0!</v>
      </c>
    </row>
    <row r="38" spans="1:15" ht="12.75">
      <c r="A38" s="646"/>
      <c r="B38" s="112" t="s">
        <v>130</v>
      </c>
      <c r="C38" s="455">
        <v>1</v>
      </c>
      <c r="D38" s="455">
        <f>SUMPRODUCT(D35:D37,C32:C34)/SUMPRODUCT(C35:C37,C32:C34)</f>
        <v>1.4542357252113662</v>
      </c>
      <c r="E38" s="455">
        <f aca="true" t="shared" si="23" ref="E38:J38">SUMPRODUCT(E35:E37,D32:D34)/SUMPRODUCT(D35:D37,D32:D34)</f>
        <v>1.2997588656317485</v>
      </c>
      <c r="F38" s="455">
        <f t="shared" si="23"/>
        <v>1.340403108594892</v>
      </c>
      <c r="G38" s="455">
        <f t="shared" si="23"/>
        <v>1.1380698030602807</v>
      </c>
      <c r="H38" s="455">
        <f t="shared" si="23"/>
        <v>1.1655367989208185</v>
      </c>
      <c r="I38" s="455">
        <f t="shared" si="23"/>
        <v>0.07882644421402196</v>
      </c>
      <c r="J38" s="497" t="e">
        <f t="shared" si="23"/>
        <v>#DIV/0!</v>
      </c>
      <c r="K38" s="455" t="e">
        <f>SUMPRODUCT(K35:K37,J32:J34)/SUMPRODUCT(J35:J37,J32:J34)</f>
        <v>#DIV/0!</v>
      </c>
      <c r="L38" s="455" t="e">
        <f>SUMPRODUCT(L35:L37,K32:K34)/SUMPRODUCT(K35:K37,K32:K34)</f>
        <v>#DIV/0!</v>
      </c>
      <c r="M38" s="455" t="e">
        <f>SUMPRODUCT(M35:M37,L32:L34)/SUMPRODUCT(L35:L37,L32:L34)</f>
        <v>#DIV/0!</v>
      </c>
      <c r="N38" s="455" t="e">
        <f>SUMPRODUCT(N35:N37,M32:M34)/SUMPRODUCT(M35:M37,M32:M34)</f>
        <v>#DIV/0!</v>
      </c>
      <c r="O38" s="455" t="e">
        <f>SUMPRODUCT(O35:O37,N32:N34)/SUMPRODUCT(N35:N37,N32:N34)</f>
        <v>#DIV/0!</v>
      </c>
    </row>
    <row r="39" spans="1:15" ht="12.75">
      <c r="A39" s="646"/>
      <c r="B39" s="113" t="s">
        <v>131</v>
      </c>
      <c r="C39" s="448">
        <v>1</v>
      </c>
      <c r="D39" s="448">
        <f aca="true" t="shared" si="24" ref="D39:I39">SUMPRODUCT(D35:D37,D32:D34)/SUMPRODUCT(C35:C37,D32:D34)</f>
        <v>1.4730813536453442</v>
      </c>
      <c r="E39" s="448">
        <f t="shared" si="24"/>
        <v>1.3403876715730407</v>
      </c>
      <c r="F39" s="448">
        <f t="shared" si="24"/>
        <v>1.2599522612687803</v>
      </c>
      <c r="G39" s="448">
        <f t="shared" si="24"/>
        <v>1.2308860130250636</v>
      </c>
      <c r="H39" s="448">
        <f t="shared" si="24"/>
        <v>16.706401643655937</v>
      </c>
      <c r="I39" s="448">
        <f t="shared" si="24"/>
        <v>1.1608457727383035</v>
      </c>
      <c r="J39" s="449" t="e">
        <f aca="true" t="shared" si="25" ref="J39:O39">SUMPRODUCT(J35:J37,J32:J34)/SUMPRODUCT(I35:I37,J32:J34)</f>
        <v>#DIV/0!</v>
      </c>
      <c r="K39" s="448" t="e">
        <f t="shared" si="25"/>
        <v>#DIV/0!</v>
      </c>
      <c r="L39" s="448" t="e">
        <f t="shared" si="25"/>
        <v>#DIV/0!</v>
      </c>
      <c r="M39" s="448" t="e">
        <f t="shared" si="25"/>
        <v>#DIV/0!</v>
      </c>
      <c r="N39" s="448" t="e">
        <f t="shared" si="25"/>
        <v>#DIV/0!</v>
      </c>
      <c r="O39" s="448" t="e">
        <f t="shared" si="25"/>
        <v>#DIV/0!</v>
      </c>
    </row>
    <row r="40" spans="1:15" ht="12.75">
      <c r="A40" s="646"/>
      <c r="B40" s="113" t="s">
        <v>132</v>
      </c>
      <c r="C40" s="448">
        <v>1</v>
      </c>
      <c r="D40" s="448">
        <f>(D38*D39)^0.5</f>
        <v>1.4636282077815317</v>
      </c>
      <c r="E40" s="448">
        <f aca="true" t="shared" si="26" ref="E40:J40">(E38*E39)^0.5</f>
        <v>1.3199169517475544</v>
      </c>
      <c r="F40" s="448">
        <f t="shared" si="26"/>
        <v>1.2995552807348507</v>
      </c>
      <c r="G40" s="448">
        <f t="shared" si="26"/>
        <v>1.1835684189910984</v>
      </c>
      <c r="H40" s="448">
        <f t="shared" si="26"/>
        <v>4.412700521589047</v>
      </c>
      <c r="I40" s="448">
        <f t="shared" si="26"/>
        <v>0.30249850337784995</v>
      </c>
      <c r="J40" s="449" t="e">
        <f t="shared" si="26"/>
        <v>#DIV/0!</v>
      </c>
      <c r="K40" s="448" t="e">
        <f>(K38*K39)^0.5</f>
        <v>#DIV/0!</v>
      </c>
      <c r="L40" s="448" t="e">
        <f>(L38*L39)^0.5</f>
        <v>#DIV/0!</v>
      </c>
      <c r="M40" s="448" t="e">
        <f>(M38*M39)^0.5</f>
        <v>#DIV/0!</v>
      </c>
      <c r="N40" s="448" t="e">
        <f>(N38*N39)^0.5</f>
        <v>#DIV/0!</v>
      </c>
      <c r="O40" s="448" t="e">
        <f>(O38*O39)^0.5</f>
        <v>#DIV/0!</v>
      </c>
    </row>
    <row r="41" spans="1:15" ht="12.75">
      <c r="A41" s="646"/>
      <c r="B41" s="114" t="s">
        <v>133</v>
      </c>
      <c r="C41" s="456">
        <v>1</v>
      </c>
      <c r="D41" s="456">
        <f>C41*D40</f>
        <v>1.4636282077815317</v>
      </c>
      <c r="E41" s="456">
        <f aca="true" t="shared" si="27" ref="E41:J41">D41*E40</f>
        <v>1.9318676825067356</v>
      </c>
      <c r="F41" s="456">
        <f t="shared" si="27"/>
        <v>2.510568848482626</v>
      </c>
      <c r="G41" s="456">
        <f t="shared" si="27"/>
        <v>2.9714300027668843</v>
      </c>
      <c r="H41" s="456">
        <f t="shared" si="27"/>
        <v>13.112030723074772</v>
      </c>
      <c r="I41" s="456">
        <f t="shared" si="27"/>
        <v>3.9663696699745064</v>
      </c>
      <c r="J41" s="498" t="e">
        <f t="shared" si="27"/>
        <v>#DIV/0!</v>
      </c>
      <c r="K41" s="456" t="e">
        <f>J41*K40</f>
        <v>#DIV/0!</v>
      </c>
      <c r="L41" s="456" t="e">
        <f>K41*L40</f>
        <v>#DIV/0!</v>
      </c>
      <c r="M41" s="456" t="e">
        <f>L41*M40</f>
        <v>#DIV/0!</v>
      </c>
      <c r="N41" s="456" t="e">
        <f>M41*N40</f>
        <v>#DIV/0!</v>
      </c>
      <c r="O41" s="456" t="e">
        <f>N41*O40</f>
        <v>#DIV/0!</v>
      </c>
    </row>
    <row r="42" spans="1:15" ht="12.75">
      <c r="A42" s="646"/>
      <c r="B42" s="104" t="s">
        <v>134</v>
      </c>
      <c r="C42" s="197"/>
      <c r="D42" s="187">
        <f aca="true" t="shared" si="28" ref="D42:O42">LN(D41/C41)</f>
        <v>0.3809184268533442</v>
      </c>
      <c r="E42" s="187">
        <f t="shared" si="28"/>
        <v>0.2775688192762645</v>
      </c>
      <c r="F42" s="187">
        <f t="shared" si="28"/>
        <v>0.2620221141983404</v>
      </c>
      <c r="G42" s="187">
        <f t="shared" si="28"/>
        <v>0.1685339590242877</v>
      </c>
      <c r="H42" s="187">
        <f t="shared" si="28"/>
        <v>1.4844868652130547</v>
      </c>
      <c r="I42" s="187">
        <f t="shared" si="28"/>
        <v>-1.1956789490347197</v>
      </c>
      <c r="J42" s="198" t="e">
        <f t="shared" si="28"/>
        <v>#DIV/0!</v>
      </c>
      <c r="K42" s="187" t="e">
        <f t="shared" si="28"/>
        <v>#DIV/0!</v>
      </c>
      <c r="L42" s="187" t="e">
        <f t="shared" si="28"/>
        <v>#DIV/0!</v>
      </c>
      <c r="M42" s="187" t="e">
        <f t="shared" si="28"/>
        <v>#DIV/0!</v>
      </c>
      <c r="N42" s="187" t="e">
        <f t="shared" si="28"/>
        <v>#DIV/0!</v>
      </c>
      <c r="O42" s="187" t="e">
        <f t="shared" si="28"/>
        <v>#DIV/0!</v>
      </c>
    </row>
    <row r="43" spans="1:15" ht="12.75">
      <c r="A43" s="134"/>
      <c r="B43" s="647" t="s">
        <v>296</v>
      </c>
      <c r="C43" s="648"/>
      <c r="D43" s="649">
        <f aca="true" t="shared" si="29" ref="D43:O43">D31-D42</f>
        <v>0.04077548102184131</v>
      </c>
      <c r="E43" s="649">
        <f t="shared" si="29"/>
        <v>0.23831746834915374</v>
      </c>
      <c r="F43" s="649">
        <f t="shared" si="29"/>
        <v>0.14097788580165976</v>
      </c>
      <c r="G43" s="649">
        <f t="shared" si="29"/>
        <v>0.0759421635701526</v>
      </c>
      <c r="H43" s="649">
        <f t="shared" si="29"/>
        <v>-1.2880378388671212</v>
      </c>
      <c r="I43" s="649">
        <f t="shared" si="29"/>
        <v>1.4110930227542027</v>
      </c>
      <c r="J43" s="402" t="e">
        <f t="shared" si="29"/>
        <v>#DIV/0!</v>
      </c>
      <c r="K43" s="403" t="e">
        <f t="shared" si="29"/>
        <v>#DIV/0!</v>
      </c>
      <c r="L43" s="403" t="e">
        <f t="shared" si="29"/>
        <v>#DIV/0!</v>
      </c>
      <c r="M43" s="403" t="e">
        <f t="shared" si="29"/>
        <v>#DIV/0!</v>
      </c>
      <c r="N43" s="403" t="e">
        <f t="shared" si="29"/>
        <v>#DIV/0!</v>
      </c>
      <c r="O43" s="403" t="e">
        <f t="shared" si="29"/>
        <v>#DIV/0!</v>
      </c>
    </row>
    <row r="44" spans="1:15" ht="12.75">
      <c r="A44" s="641" t="s">
        <v>298</v>
      </c>
      <c r="B44" s="640" t="s">
        <v>135</v>
      </c>
      <c r="C44" s="651"/>
      <c r="D44" s="218">
        <f>AVERAGE($D$43:D43)</f>
        <v>0.04077548102184131</v>
      </c>
      <c r="E44" s="218">
        <f>AVERAGE($D$43:E43)</f>
        <v>0.13954647468549752</v>
      </c>
      <c r="F44" s="218">
        <f>AVERAGE($D$43:F43)</f>
        <v>0.14002361172421826</v>
      </c>
      <c r="G44" s="218">
        <f>AVERAGE($D$43:G43)</f>
        <v>0.12400324968570185</v>
      </c>
      <c r="H44" s="218">
        <f>AVERAGE($D$43:H43)</f>
        <v>-0.15840496802486276</v>
      </c>
      <c r="I44" s="652">
        <f>AVERAGE($D$43:I43)</f>
        <v>0.10317803043831482</v>
      </c>
      <c r="J44" s="404" t="e">
        <f>AVERAGE($D$43:J43)</f>
        <v>#DIV/0!</v>
      </c>
      <c r="K44" s="405" t="e">
        <f>AVERAGE($D$43:K43)</f>
        <v>#DIV/0!</v>
      </c>
      <c r="L44" s="405" t="e">
        <f>AVERAGE($D$43:L43)</f>
        <v>#DIV/0!</v>
      </c>
      <c r="M44" s="405" t="e">
        <f>AVERAGE($D$43:M43)</f>
        <v>#DIV/0!</v>
      </c>
      <c r="N44" s="405" t="e">
        <f>AVERAGE($D$43:N43)</f>
        <v>#DIV/0!</v>
      </c>
      <c r="O44" s="405" t="e">
        <f>AVERAGE($D$43:O43)</f>
        <v>#DIV/0!</v>
      </c>
    </row>
    <row r="45" spans="1:15" ht="12.75">
      <c r="A45" s="642" t="s">
        <v>299</v>
      </c>
      <c r="B45" s="640" t="str">
        <f>B35</f>
        <v>Input Price Index Labor</v>
      </c>
      <c r="C45" s="455">
        <f>C35</f>
        <v>1</v>
      </c>
      <c r="D45" s="455">
        <f aca="true" t="shared" si="30" ref="D45:O45">D35</f>
        <v>1.3608224675692329</v>
      </c>
      <c r="E45" s="455">
        <f t="shared" si="30"/>
        <v>0.9914796656824987</v>
      </c>
      <c r="F45" s="455">
        <f t="shared" si="30"/>
        <v>0.7828660903718565</v>
      </c>
      <c r="G45" s="455">
        <f t="shared" si="30"/>
        <v>0.038112445691003916</v>
      </c>
      <c r="H45" s="455">
        <f t="shared" si="30"/>
        <v>44.36560954438727</v>
      </c>
      <c r="I45" s="455">
        <f t="shared" si="30"/>
        <v>0.0038202821719185757</v>
      </c>
      <c r="J45" s="497" t="e">
        <f t="shared" si="30"/>
        <v>#DIV/0!</v>
      </c>
      <c r="K45" s="455" t="e">
        <f t="shared" si="30"/>
        <v>#DIV/0!</v>
      </c>
      <c r="L45" s="455" t="e">
        <f t="shared" si="30"/>
        <v>#DIV/0!</v>
      </c>
      <c r="M45" s="455" t="e">
        <f t="shared" si="30"/>
        <v>#DIV/0!</v>
      </c>
      <c r="N45" s="455" t="e">
        <f t="shared" si="30"/>
        <v>#DIV/0!</v>
      </c>
      <c r="O45" s="455" t="e">
        <f t="shared" si="30"/>
        <v>#DIV/0!</v>
      </c>
    </row>
    <row r="46" spans="1:15" ht="12.75" customHeight="1">
      <c r="A46" s="646"/>
      <c r="B46" s="113" t="str">
        <f>B36</f>
        <v>Input Price Index Materials</v>
      </c>
      <c r="C46" s="448">
        <f>C36</f>
        <v>1</v>
      </c>
      <c r="D46" s="448">
        <f aca="true" t="shared" si="31" ref="D46:O46">D36</f>
        <v>1.5621495551615723</v>
      </c>
      <c r="E46" s="448">
        <f t="shared" si="31"/>
        <v>2.2285961984940745</v>
      </c>
      <c r="F46" s="448">
        <f t="shared" si="31"/>
        <v>3.0811841552291224</v>
      </c>
      <c r="G46" s="448">
        <f t="shared" si="31"/>
        <v>3.840026818407601</v>
      </c>
      <c r="H46" s="448">
        <f t="shared" si="31"/>
        <v>4.438684743448183</v>
      </c>
      <c r="I46" s="448">
        <f t="shared" si="31"/>
        <v>5.177404908866567</v>
      </c>
      <c r="J46" s="449" t="e">
        <f t="shared" si="31"/>
        <v>#DIV/0!</v>
      </c>
      <c r="K46" s="448" t="e">
        <f t="shared" si="31"/>
        <v>#DIV/0!</v>
      </c>
      <c r="L46" s="448" t="e">
        <f t="shared" si="31"/>
        <v>#DIV/0!</v>
      </c>
      <c r="M46" s="448" t="e">
        <f t="shared" si="31"/>
        <v>#DIV/0!</v>
      </c>
      <c r="N46" s="448" t="e">
        <f t="shared" si="31"/>
        <v>#DIV/0!</v>
      </c>
      <c r="O46" s="448" t="e">
        <f t="shared" si="31"/>
        <v>#DIV/0!</v>
      </c>
    </row>
    <row r="47" spans="1:15" ht="12.75">
      <c r="A47" s="646"/>
      <c r="B47" s="113" t="str">
        <f>B37</f>
        <v>Input Price Index Capital</v>
      </c>
      <c r="C47" s="448">
        <f>'Capital stock'!C44</f>
        <v>1</v>
      </c>
      <c r="D47" s="448">
        <f>'Capital stock'!D44</f>
        <v>1.425393322729054</v>
      </c>
      <c r="E47" s="448">
        <f>'Capital stock'!E44</f>
        <v>2.149732661605174</v>
      </c>
      <c r="F47" s="448">
        <f>'Capital stock'!F44</f>
        <v>3.0017315241759004</v>
      </c>
      <c r="G47" s="448">
        <f>'Capital stock'!G44</f>
        <v>3.6020949629355377</v>
      </c>
      <c r="H47" s="448">
        <f>'Capital stock'!H44</f>
        <v>4.175005024080136</v>
      </c>
      <c r="I47" s="448">
        <f>'Capital stock'!I44</f>
        <v>4.8080987706813865</v>
      </c>
      <c r="J47" s="449" t="e">
        <f>'Capital stock'!J44</f>
        <v>#DIV/0!</v>
      </c>
      <c r="K47" s="448" t="e">
        <f>'Capital stock'!K44</f>
        <v>#DIV/0!</v>
      </c>
      <c r="L47" s="448" t="e">
        <f>'Capital stock'!L44</f>
        <v>#DIV/0!</v>
      </c>
      <c r="M47" s="448" t="e">
        <f>'Capital stock'!M44</f>
        <v>#DIV/0!</v>
      </c>
      <c r="N47" s="448" t="e">
        <f>'Capital stock'!N44</f>
        <v>#DIV/0!</v>
      </c>
      <c r="O47" s="448" t="e">
        <f>'Capital stock'!O44</f>
        <v>#DIV/0!</v>
      </c>
    </row>
    <row r="48" spans="1:15" ht="12.75">
      <c r="A48" s="646"/>
      <c r="B48" s="112" t="s">
        <v>130</v>
      </c>
      <c r="C48" s="455">
        <v>1</v>
      </c>
      <c r="D48" s="455">
        <f aca="true" t="shared" si="32" ref="D48:O48">SUMPRODUCT(D45:D47,C35:C37)/SUMPRODUCT(C45:C47,C35:C37)</f>
        <v>1.4494551151532864</v>
      </c>
      <c r="E48" s="455">
        <f t="shared" si="32"/>
        <v>1.231766625646699</v>
      </c>
      <c r="F48" s="455">
        <f t="shared" si="32"/>
        <v>1.3128123383269128</v>
      </c>
      <c r="G48" s="455">
        <f t="shared" si="32"/>
        <v>1.1787365131919738</v>
      </c>
      <c r="H48" s="455">
        <f t="shared" si="32"/>
        <v>1.255299990321544</v>
      </c>
      <c r="I48" s="455">
        <f t="shared" si="32"/>
        <v>0.012745887137542752</v>
      </c>
      <c r="J48" s="497" t="e">
        <f t="shared" si="32"/>
        <v>#DIV/0!</v>
      </c>
      <c r="K48" s="455" t="e">
        <f t="shared" si="32"/>
        <v>#DIV/0!</v>
      </c>
      <c r="L48" s="455" t="e">
        <f t="shared" si="32"/>
        <v>#DIV/0!</v>
      </c>
      <c r="M48" s="455" t="e">
        <f t="shared" si="32"/>
        <v>#DIV/0!</v>
      </c>
      <c r="N48" s="455" t="e">
        <f t="shared" si="32"/>
        <v>#DIV/0!</v>
      </c>
      <c r="O48" s="455" t="e">
        <f t="shared" si="32"/>
        <v>#DIV/0!</v>
      </c>
    </row>
    <row r="49" spans="1:15" ht="12.75">
      <c r="A49" s="646"/>
      <c r="B49" s="113" t="s">
        <v>131</v>
      </c>
      <c r="C49" s="448">
        <v>1</v>
      </c>
      <c r="D49" s="448">
        <f aca="true" t="shared" si="33" ref="D49:O49">SUMPRODUCT(D45:D47,D35:D37)/SUMPRODUCT(C45:C47,D35:D37)</f>
        <v>1.456209243304034</v>
      </c>
      <c r="E49" s="448">
        <f t="shared" si="33"/>
        <v>1.2914554339603395</v>
      </c>
      <c r="F49" s="448">
        <f t="shared" si="33"/>
        <v>1.3359891432273219</v>
      </c>
      <c r="G49" s="448">
        <f t="shared" si="33"/>
        <v>1.2372065995075636</v>
      </c>
      <c r="H49" s="448">
        <f t="shared" si="33"/>
        <v>97.57659464161338</v>
      </c>
      <c r="I49" s="448">
        <f t="shared" si="33"/>
        <v>1.1574160732123588</v>
      </c>
      <c r="J49" s="449" t="e">
        <f t="shared" si="33"/>
        <v>#DIV/0!</v>
      </c>
      <c r="K49" s="448" t="e">
        <f t="shared" si="33"/>
        <v>#DIV/0!</v>
      </c>
      <c r="L49" s="448" t="e">
        <f t="shared" si="33"/>
        <v>#DIV/0!</v>
      </c>
      <c r="M49" s="448" t="e">
        <f t="shared" si="33"/>
        <v>#DIV/0!</v>
      </c>
      <c r="N49" s="448" t="e">
        <f t="shared" si="33"/>
        <v>#DIV/0!</v>
      </c>
      <c r="O49" s="448" t="e">
        <f t="shared" si="33"/>
        <v>#DIV/0!</v>
      </c>
    </row>
    <row r="50" spans="1:15" ht="12.75">
      <c r="A50" s="646"/>
      <c r="B50" s="113" t="s">
        <v>132</v>
      </c>
      <c r="C50" s="448">
        <v>1</v>
      </c>
      <c r="D50" s="448">
        <f aca="true" t="shared" si="34" ref="D50:O50">(D48*D49)^0.5</f>
        <v>1.4528282542821531</v>
      </c>
      <c r="E50" s="448">
        <f t="shared" si="34"/>
        <v>1.2612579839439753</v>
      </c>
      <c r="F50" s="448">
        <f t="shared" si="34"/>
        <v>1.3243500410011053</v>
      </c>
      <c r="G50" s="448">
        <f t="shared" si="34"/>
        <v>1.207617734716431</v>
      </c>
      <c r="H50" s="448">
        <f t="shared" si="34"/>
        <v>11.067425098424046</v>
      </c>
      <c r="I50" s="448">
        <f t="shared" si="34"/>
        <v>0.12145902453231973</v>
      </c>
      <c r="J50" s="449" t="e">
        <f t="shared" si="34"/>
        <v>#DIV/0!</v>
      </c>
      <c r="K50" s="448" t="e">
        <f t="shared" si="34"/>
        <v>#DIV/0!</v>
      </c>
      <c r="L50" s="448" t="e">
        <f t="shared" si="34"/>
        <v>#DIV/0!</v>
      </c>
      <c r="M50" s="448" t="e">
        <f t="shared" si="34"/>
        <v>#DIV/0!</v>
      </c>
      <c r="N50" s="448" t="e">
        <f t="shared" si="34"/>
        <v>#DIV/0!</v>
      </c>
      <c r="O50" s="448" t="e">
        <f t="shared" si="34"/>
        <v>#DIV/0!</v>
      </c>
    </row>
    <row r="51" spans="1:15" ht="12.75">
      <c r="A51" s="646"/>
      <c r="B51" s="114" t="s">
        <v>133</v>
      </c>
      <c r="C51" s="456">
        <v>1</v>
      </c>
      <c r="D51" s="456">
        <f aca="true" t="shared" si="35" ref="D51:O51">C51*D50</f>
        <v>1.4528282542821531</v>
      </c>
      <c r="E51" s="456">
        <f t="shared" si="35"/>
        <v>1.8323912350127536</v>
      </c>
      <c r="F51" s="456">
        <f t="shared" si="35"/>
        <v>2.4267274072192064</v>
      </c>
      <c r="G51" s="456">
        <f t="shared" si="35"/>
        <v>2.930559054280336</v>
      </c>
      <c r="H51" s="456">
        <f t="shared" si="35"/>
        <v>32.43374282975603</v>
      </c>
      <c r="I51" s="456">
        <f t="shared" si="35"/>
        <v>3.9393707660342865</v>
      </c>
      <c r="J51" s="498" t="e">
        <f t="shared" si="35"/>
        <v>#DIV/0!</v>
      </c>
      <c r="K51" s="456" t="e">
        <f t="shared" si="35"/>
        <v>#DIV/0!</v>
      </c>
      <c r="L51" s="456" t="e">
        <f t="shared" si="35"/>
        <v>#DIV/0!</v>
      </c>
      <c r="M51" s="456" t="e">
        <f t="shared" si="35"/>
        <v>#DIV/0!</v>
      </c>
      <c r="N51" s="456" t="e">
        <f t="shared" si="35"/>
        <v>#DIV/0!</v>
      </c>
      <c r="O51" s="456" t="e">
        <f t="shared" si="35"/>
        <v>#DIV/0!</v>
      </c>
    </row>
    <row r="52" spans="1:15" ht="12.75">
      <c r="A52" s="646"/>
      <c r="B52" s="104" t="s">
        <v>134</v>
      </c>
      <c r="C52" s="197"/>
      <c r="D52" s="187">
        <f aca="true" t="shared" si="36" ref="D52:O52">LN(D51/C51)</f>
        <v>0.3735121768325472</v>
      </c>
      <c r="E52" s="187">
        <f t="shared" si="36"/>
        <v>0.23210962284917458</v>
      </c>
      <c r="F52" s="187">
        <f t="shared" si="36"/>
        <v>0.2809218039929819</v>
      </c>
      <c r="G52" s="187">
        <f t="shared" si="36"/>
        <v>0.18864960466224504</v>
      </c>
      <c r="H52" s="187">
        <f t="shared" si="36"/>
        <v>2.40400611789618</v>
      </c>
      <c r="I52" s="187">
        <f t="shared" si="36"/>
        <v>-2.108178319729548</v>
      </c>
      <c r="J52" s="198" t="e">
        <f t="shared" si="36"/>
        <v>#DIV/0!</v>
      </c>
      <c r="K52" s="187" t="e">
        <f t="shared" si="36"/>
        <v>#DIV/0!</v>
      </c>
      <c r="L52" s="187" t="e">
        <f t="shared" si="36"/>
        <v>#DIV/0!</v>
      </c>
      <c r="M52" s="187" t="e">
        <f t="shared" si="36"/>
        <v>#DIV/0!</v>
      </c>
      <c r="N52" s="187" t="e">
        <f t="shared" si="36"/>
        <v>#DIV/0!</v>
      </c>
      <c r="O52" s="187" t="e">
        <f t="shared" si="36"/>
        <v>#DIV/0!</v>
      </c>
    </row>
    <row r="53" spans="1:15" ht="13.5" thickBot="1">
      <c r="A53" s="134"/>
      <c r="B53" s="647" t="s">
        <v>296</v>
      </c>
      <c r="C53" s="648"/>
      <c r="D53" s="649">
        <f aca="true" t="shared" si="37" ref="D53:O53">D31-D52</f>
        <v>0.04818173104263829</v>
      </c>
      <c r="E53" s="649">
        <f t="shared" si="37"/>
        <v>0.28377666477624364</v>
      </c>
      <c r="F53" s="649">
        <f t="shared" si="37"/>
        <v>0.12207819600701825</v>
      </c>
      <c r="G53" s="649">
        <f t="shared" si="37"/>
        <v>0.05582651793219526</v>
      </c>
      <c r="H53" s="649">
        <f t="shared" si="37"/>
        <v>-2.2075570915502465</v>
      </c>
      <c r="I53" s="649">
        <f t="shared" si="37"/>
        <v>2.323592393449031</v>
      </c>
      <c r="J53" s="650" t="e">
        <f t="shared" si="37"/>
        <v>#DIV/0!</v>
      </c>
      <c r="K53" s="288" t="e">
        <f t="shared" si="37"/>
        <v>#DIV/0!</v>
      </c>
      <c r="L53" s="288" t="e">
        <f t="shared" si="37"/>
        <v>#DIV/0!</v>
      </c>
      <c r="M53" s="288" t="e">
        <f t="shared" si="37"/>
        <v>#DIV/0!</v>
      </c>
      <c r="N53" s="288" t="e">
        <f t="shared" si="37"/>
        <v>#DIV/0!</v>
      </c>
      <c r="O53" s="288" t="e">
        <f t="shared" si="37"/>
        <v>#DIV/0!</v>
      </c>
    </row>
    <row r="54" spans="2:15" ht="13.5" thickBot="1">
      <c r="B54" s="20"/>
      <c r="C54" s="195"/>
      <c r="D54" s="195"/>
      <c r="E54" s="195"/>
      <c r="F54" s="195"/>
      <c r="G54" s="195"/>
      <c r="H54" s="195"/>
      <c r="I54" s="279">
        <f>AVERAGE(D53:I53)</f>
        <v>0.10431640194281329</v>
      </c>
      <c r="J54" s="199"/>
      <c r="K54" s="199"/>
      <c r="L54" s="199"/>
      <c r="M54" s="199"/>
      <c r="N54" s="199"/>
      <c r="O54" s="199"/>
    </row>
    <row r="55" spans="2:15" ht="12.75">
      <c r="B55" s="204" t="s">
        <v>273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2:15" ht="12.75">
      <c r="B56" s="28" t="s">
        <v>136</v>
      </c>
      <c r="C56" s="452">
        <f>'Price Indices'!C62</f>
        <v>1</v>
      </c>
      <c r="D56" s="452">
        <f>'Price Indices'!D62</f>
        <v>1.458</v>
      </c>
      <c r="E56" s="452">
        <f>'Price Indices'!E62</f>
        <v>2.1243060000000002</v>
      </c>
      <c r="F56" s="452">
        <f>'Price Indices'!F62</f>
        <v>2.8571915700000003</v>
      </c>
      <c r="G56" s="452">
        <f>'Price Indices'!G62</f>
        <v>3.500059673250001</v>
      </c>
      <c r="H56" s="452">
        <f>'Price Indices'!H62</f>
        <v>4.035568803257251</v>
      </c>
      <c r="I56" s="453">
        <f>'Price Indices'!I62</f>
        <v>4.515801490844864</v>
      </c>
      <c r="J56" s="454">
        <f>'Price Indices'!J62</f>
        <v>0</v>
      </c>
      <c r="K56" s="452">
        <f>'Price Indices'!K62</f>
        <v>0</v>
      </c>
      <c r="L56" s="452">
        <f>'Price Indices'!L62</f>
        <v>0</v>
      </c>
      <c r="M56" s="452">
        <f>'Price Indices'!M62</f>
        <v>0</v>
      </c>
      <c r="N56" s="452">
        <f>'Price Indices'!N62</f>
        <v>0</v>
      </c>
      <c r="O56" s="452">
        <f>'Price Indices'!O62</f>
        <v>0</v>
      </c>
    </row>
    <row r="57" spans="2:15" ht="12.75">
      <c r="B57" s="91" t="s">
        <v>137</v>
      </c>
      <c r="C57" s="406"/>
      <c r="D57" s="200">
        <f>D56/C56-1</f>
        <v>0.45799999999999996</v>
      </c>
      <c r="E57" s="200">
        <f aca="true" t="shared" si="38" ref="E57:O57">E56/D56-1</f>
        <v>0.4570000000000003</v>
      </c>
      <c r="F57" s="200">
        <f t="shared" si="38"/>
        <v>0.345</v>
      </c>
      <c r="G57" s="200">
        <f t="shared" si="38"/>
        <v>0.2250000000000001</v>
      </c>
      <c r="H57" s="200">
        <f t="shared" si="38"/>
        <v>0.15300000000000002</v>
      </c>
      <c r="I57" s="201">
        <f t="shared" si="38"/>
        <v>0.119</v>
      </c>
      <c r="J57" s="407">
        <f t="shared" si="38"/>
        <v>-1</v>
      </c>
      <c r="K57" s="406" t="e">
        <f t="shared" si="38"/>
        <v>#DIV/0!</v>
      </c>
      <c r="L57" s="406" t="e">
        <f t="shared" si="38"/>
        <v>#DIV/0!</v>
      </c>
      <c r="M57" s="406" t="e">
        <f t="shared" si="38"/>
        <v>#DIV/0!</v>
      </c>
      <c r="N57" s="406" t="e">
        <f t="shared" si="38"/>
        <v>#DIV/0!</v>
      </c>
      <c r="O57" s="406" t="e">
        <f t="shared" si="38"/>
        <v>#DIV/0!</v>
      </c>
    </row>
    <row r="58" spans="2:15" ht="12.75">
      <c r="B58" s="223" t="s">
        <v>281</v>
      </c>
      <c r="C58" s="408"/>
      <c r="D58" s="215">
        <f aca="true" t="shared" si="39" ref="D58:O58">D57-$I$28</f>
        <v>0.07244398036490174</v>
      </c>
      <c r="E58" s="215">
        <f t="shared" si="39"/>
        <v>0.07144398036490207</v>
      </c>
      <c r="F58" s="215">
        <f t="shared" si="39"/>
        <v>-0.04055601963509825</v>
      </c>
      <c r="G58" s="215">
        <f t="shared" si="39"/>
        <v>-0.16055601963509814</v>
      </c>
      <c r="H58" s="215">
        <f t="shared" si="39"/>
        <v>-0.2325560196350982</v>
      </c>
      <c r="I58" s="216">
        <f t="shared" si="39"/>
        <v>-0.26655601963509823</v>
      </c>
      <c r="J58" s="224">
        <f t="shared" si="39"/>
        <v>-1.3855560196350982</v>
      </c>
      <c r="K58" s="215" t="e">
        <f t="shared" si="39"/>
        <v>#DIV/0!</v>
      </c>
      <c r="L58" s="215" t="e">
        <f t="shared" si="39"/>
        <v>#DIV/0!</v>
      </c>
      <c r="M58" s="215" t="e">
        <f t="shared" si="39"/>
        <v>#DIV/0!</v>
      </c>
      <c r="N58" s="215" t="e">
        <f t="shared" si="39"/>
        <v>#DIV/0!</v>
      </c>
      <c r="O58" s="215" t="e">
        <f t="shared" si="39"/>
        <v>#DIV/0!</v>
      </c>
    </row>
    <row r="59" spans="2:15" ht="12.75">
      <c r="B59" s="33" t="s">
        <v>282</v>
      </c>
      <c r="C59" s="409"/>
      <c r="D59" s="163">
        <f aca="true" t="shared" si="40" ref="D59:O59">D57-(D27+D43)</f>
        <v>3.3531145303383516</v>
      </c>
      <c r="E59" s="163">
        <f t="shared" si="40"/>
        <v>0.19085537647689765</v>
      </c>
      <c r="F59" s="163">
        <f t="shared" si="40"/>
        <v>-1.0439101333743008</v>
      </c>
      <c r="G59" s="163">
        <f t="shared" si="40"/>
        <v>0.5950518918999732</v>
      </c>
      <c r="H59" s="163">
        <f t="shared" si="40"/>
        <v>0.07417894276288717</v>
      </c>
      <c r="I59" s="196">
        <f t="shared" si="40"/>
        <v>-4.3446949085442865</v>
      </c>
      <c r="J59" s="410" t="e">
        <f t="shared" si="40"/>
        <v>#DIV/0!</v>
      </c>
      <c r="K59" s="409" t="e">
        <f t="shared" si="40"/>
        <v>#DIV/0!</v>
      </c>
      <c r="L59" s="409" t="e">
        <f t="shared" si="40"/>
        <v>#DIV/0!</v>
      </c>
      <c r="M59" s="409" t="e">
        <f t="shared" si="40"/>
        <v>#DIV/0!</v>
      </c>
      <c r="N59" s="409" t="e">
        <f t="shared" si="40"/>
        <v>#DIV/0!</v>
      </c>
      <c r="O59" s="409" t="e">
        <f t="shared" si="40"/>
        <v>#DIV/0!</v>
      </c>
    </row>
    <row r="60" spans="2:15" ht="12.75">
      <c r="B60" s="90" t="s">
        <v>303</v>
      </c>
      <c r="C60" s="225"/>
      <c r="D60" s="225">
        <f aca="true" t="shared" si="41" ref="D60:I60">D57-($I$28+$J$5)</f>
        <v>0.07244398036490174</v>
      </c>
      <c r="E60" s="225">
        <f t="shared" si="41"/>
        <v>0.07144398036490207</v>
      </c>
      <c r="F60" s="225">
        <f t="shared" si="41"/>
        <v>-0.04055601963509825</v>
      </c>
      <c r="G60" s="225">
        <f t="shared" si="41"/>
        <v>-0.16055601963509814</v>
      </c>
      <c r="H60" s="225">
        <f t="shared" si="41"/>
        <v>-0.2325560196350982</v>
      </c>
      <c r="I60" s="225">
        <f t="shared" si="41"/>
        <v>-0.26655601963509823</v>
      </c>
      <c r="J60" s="226" t="e">
        <f aca="true" t="shared" si="42" ref="J60:O60">J57-($I$28+J43)</f>
        <v>#DIV/0!</v>
      </c>
      <c r="K60" s="225" t="e">
        <f t="shared" si="42"/>
        <v>#DIV/0!</v>
      </c>
      <c r="L60" s="225" t="e">
        <f t="shared" si="42"/>
        <v>#DIV/0!</v>
      </c>
      <c r="M60" s="225" t="e">
        <f t="shared" si="42"/>
        <v>#DIV/0!</v>
      </c>
      <c r="N60" s="225" t="e">
        <f t="shared" si="42"/>
        <v>#DIV/0!</v>
      </c>
      <c r="O60" s="225" t="e">
        <f t="shared" si="42"/>
        <v>#DIV/0!</v>
      </c>
    </row>
    <row r="61" spans="2:15" ht="12.75">
      <c r="B61" s="146"/>
      <c r="C61" s="180"/>
      <c r="D61" s="180"/>
      <c r="E61" s="180"/>
      <c r="F61" s="180"/>
      <c r="G61" s="180"/>
      <c r="H61" s="180"/>
      <c r="I61" s="180"/>
      <c r="J61" s="146"/>
      <c r="K61" s="146"/>
      <c r="L61" s="146"/>
      <c r="M61" s="146"/>
      <c r="N61" s="146"/>
      <c r="O61" s="146"/>
    </row>
    <row r="62" spans="3:15" ht="12.75">
      <c r="C62" s="6"/>
      <c r="D62" s="6"/>
      <c r="E62" s="6"/>
      <c r="F62" s="6"/>
      <c r="G62" s="6"/>
      <c r="H62" s="6"/>
      <c r="I62" s="59"/>
      <c r="J62" s="6"/>
      <c r="K62" s="6"/>
      <c r="L62" s="6"/>
      <c r="M62" s="6"/>
      <c r="N62" s="6"/>
      <c r="O62" s="6"/>
    </row>
    <row r="63" spans="2:15" ht="13.5" thickBot="1">
      <c r="B63" s="209" t="s">
        <v>270</v>
      </c>
      <c r="C63" s="188"/>
      <c r="D63" s="7"/>
      <c r="E63" s="7"/>
      <c r="F63" s="7"/>
      <c r="G63" s="188"/>
      <c r="H63" s="7"/>
      <c r="I63" s="181"/>
      <c r="J63" s="7"/>
      <c r="K63" s="7"/>
      <c r="L63" s="7"/>
      <c r="M63" s="7"/>
      <c r="N63" s="7"/>
      <c r="O63" s="7"/>
    </row>
    <row r="64" spans="2:15" ht="13.5" thickBot="1">
      <c r="B64" s="227" t="s">
        <v>301</v>
      </c>
      <c r="C64" s="663"/>
      <c r="D64" s="654"/>
      <c r="E64" s="654"/>
      <c r="F64" s="654"/>
      <c r="G64" s="654"/>
      <c r="H64" s="654"/>
      <c r="I64" s="181"/>
      <c r="J64" s="7"/>
      <c r="K64" s="7"/>
      <c r="L64" s="7"/>
      <c r="M64" s="7"/>
      <c r="N64" s="7"/>
      <c r="O64" s="7"/>
    </row>
    <row r="65" spans="2:8" ht="12.75">
      <c r="B65" s="660" t="s">
        <v>305</v>
      </c>
      <c r="C65" s="767">
        <v>61287</v>
      </c>
      <c r="D65" s="655"/>
      <c r="E65" s="655"/>
      <c r="F65" s="655"/>
      <c r="G65" s="655"/>
      <c r="H65" s="655"/>
    </row>
    <row r="66" spans="2:8" ht="12.75">
      <c r="B66" s="660" t="s">
        <v>304</v>
      </c>
      <c r="C66" s="768">
        <v>72145</v>
      </c>
      <c r="D66" s="656"/>
      <c r="E66" s="656"/>
      <c r="F66" s="656"/>
      <c r="G66" s="656"/>
      <c r="H66" s="656"/>
    </row>
    <row r="67" spans="2:8" ht="12.75">
      <c r="B67" s="660" t="s">
        <v>265</v>
      </c>
      <c r="C67" s="664">
        <f>C65/C66</f>
        <v>0.8494975396770393</v>
      </c>
      <c r="D67" s="657"/>
      <c r="E67" s="657"/>
      <c r="F67" s="657"/>
      <c r="G67" s="657"/>
      <c r="H67" s="657"/>
    </row>
    <row r="68" spans="2:8" ht="12.75">
      <c r="B68" s="660" t="s">
        <v>266</v>
      </c>
      <c r="C68" s="664">
        <f>1-C67</f>
        <v>0.15050246032296066</v>
      </c>
      <c r="D68" s="657"/>
      <c r="E68" s="657"/>
      <c r="F68" s="657"/>
      <c r="G68" s="657"/>
      <c r="H68" s="657"/>
    </row>
    <row r="69" spans="2:8" ht="12.75">
      <c r="B69" s="660" t="s">
        <v>267</v>
      </c>
      <c r="C69" s="665">
        <v>3</v>
      </c>
      <c r="D69" s="656"/>
      <c r="E69" s="656"/>
      <c r="F69" s="656"/>
      <c r="G69" s="656"/>
      <c r="H69" s="656"/>
    </row>
    <row r="70" spans="2:8" ht="12.75">
      <c r="B70" s="660" t="s">
        <v>302</v>
      </c>
      <c r="C70" s="666">
        <f>$I$60</f>
        <v>-0.26655601963509823</v>
      </c>
      <c r="D70" s="658"/>
      <c r="E70" s="658"/>
      <c r="F70" s="658"/>
      <c r="G70" s="658"/>
      <c r="H70" s="658"/>
    </row>
    <row r="71" spans="2:8" ht="12.75">
      <c r="B71" s="661" t="s">
        <v>268</v>
      </c>
      <c r="C71" s="667">
        <f>(1+C68)^(1/C69)-1</f>
        <v>0.04784211716623754</v>
      </c>
      <c r="D71" s="657"/>
      <c r="E71" s="657"/>
      <c r="F71" s="657"/>
      <c r="G71" s="657"/>
      <c r="H71" s="657"/>
    </row>
    <row r="72" spans="2:8" ht="13.5" thickBot="1">
      <c r="B72" s="662" t="s">
        <v>269</v>
      </c>
      <c r="C72" s="668">
        <f>C70+C71</f>
        <v>-0.2187139024688607</v>
      </c>
      <c r="D72" s="659"/>
      <c r="E72" s="659"/>
      <c r="F72" s="659"/>
      <c r="G72" s="659"/>
      <c r="H72" s="65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37" r:id="rId1"/>
  <rowBreaks count="1" manualBreakCount="1">
    <brk id="53" max="255" man="1"/>
  </rowBreaks>
  <ignoredErrors>
    <ignoredError sqref="J10:O20 J24:O27 J44:O44 K57:O58 J31:O43 J59:O6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Detecon International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george rusen</cp:lastModifiedBy>
  <cp:lastPrinted>2006-08-10T09:33:29Z</cp:lastPrinted>
  <dcterms:created xsi:type="dcterms:W3CDTF">2006-02-12T14:53:28Z</dcterms:created>
  <dcterms:modified xsi:type="dcterms:W3CDTF">2006-09-22T10:56:32Z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040&quot;/&gt;&lt;partner val=&quot;728&quot;/&gt;&lt;CXlWorkbook id=&quot;1&quot;&gt;&lt;m_cxllink/&gt;&lt;/CXlWorkbook&gt;&lt;/root&gt;">
    <vt:lpwstr/>
  </property>
</Properties>
</file>